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omments1.xml" ContentType="application/vnd.openxmlformats-officedocument.spreadsheetml.comments+xml"/>
  <Default Extension="vml" ContentType="application/vnd.openxmlformats-officedocument.vmlDrawing"/>
  <Override PartName="/xl/worksheets/sheet2.xml" ContentType="application/vnd.openxmlformats-officedocument.spreadsheetml.worksheet+xml"/>
  <Override PartName="/xl/comments2.xml" ContentType="application/vnd.openxmlformats-officedocument.spreadsheetml.comments+xml"/>
  <Override PartName="/xl/sharedStrings.xml" ContentType="application/vnd.openxmlformats-officedocument.spreadsheetml.sharedStrings+xml"/>
  <Override PartName="/docProps/core.xml" ContentType="application/vnd.openxmlformats-package.core-properties+xml"/>
  <Override PartName="/xl/externalLinks/externalLink1.xml" ContentType="application/vnd.openxmlformats-officedocument.spreadsheetml.externalLink+xml"/>
  <Default Extension="bin" ContentType="application/vnd.openxmlformats-officedocument.spreadsheetml.printerSettings"/>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240" yWindow="120" windowWidth="14940" windowHeight="9225" activeTab="0"/>
  </bookViews>
  <sheets>
    <sheet name="Picture" sheetId="1" r:id="rId1"/>
    <sheet name="Annotated Example" sheetId="2" r:id="rId2"/>
  </sheets>
  <externalReferences>
    <externalReference r:id="rId6"/>
  </externalReferences>
  <definedNames>
    <definedName name="LeakageTreePicture" localSheetId="1">'Annotated Example'!$C$7:$AI$54</definedName>
    <definedName name="LeakageTreePicture">Picture!$C$7:$AI$54</definedName>
    <definedName name="_xlnm.Print_Area" localSheetId="1">'Annotated Example'!$B$6:$AJ$55</definedName>
  </definedNames>
  <calcPr calcId="125725"/>
  <webPublishing/>
</workbook>
</file>

<file path=xl/comments1.xml><?xml version="1.0" encoding="utf-8"?>
<comments xmlns="http://schemas.openxmlformats.org/spreadsheetml/2006/main">
  <authors>
    <author>Edmund C. DeCaria</author>
  </authors>
  <commentList>
    <comment ref="EE110" authorId="0">
      <text>
        <r>
          <rPr>
            <b/>
            <sz val="9"/>
            <rFont val="Tahoma"/>
            <family val="0"/>
          </rPr>
          <t xml:space="preserve">Corner Case:
</t>
        </r>
        <r>
          <rPr>
            <sz val="9"/>
            <rFont val="Tahoma"/>
            <family val="0"/>
          </rPr>
          <t>If Food channel sales are not null for YA, but WM NeighMkts is null for YA, channel will still report full value even though WM NeighMkts should be backed out. Similarly, if MASS/SUPCEN channel sales are not null for YA, but Walmart Mass/SC is null for YA, channel will still report full value even though Walmart Mass/SC should be backed out.</t>
        </r>
      </text>
    </comment>
    <comment ref="EF110" authorId="0">
      <text>
        <r>
          <rPr>
            <b/>
            <sz val="9"/>
            <rFont val="Tahoma"/>
            <family val="0"/>
          </rPr>
          <t xml:space="preserve">Corner Case:
</t>
        </r>
        <r>
          <rPr>
            <sz val="9"/>
            <rFont val="Tahoma"/>
            <family val="0"/>
          </rPr>
          <t>If Food channel sales are not null for YA, but WM NeighMkts is null for YA, channel will still report full value even though WM NeighMkts should be backed out. Similarly, if MASS/SUPCEN channel sales are not null for YA, but Walmart Mass/SC is null for YA, channel will still report full value even though Walmart Mass/SC should be backed out.</t>
        </r>
      </text>
    </comment>
    <comment ref="CW111" authorId="0">
      <text>
        <r>
          <rPr>
            <sz val="9"/>
            <rFont val="Tahoma"/>
            <family val="0"/>
          </rPr>
          <t>IFERROR check designed because geography name COULD have 2+ instances of " - "</t>
        </r>
      </text>
    </comment>
  </commentList>
</comments>
</file>

<file path=xl/comments2.xml><?xml version="1.0" encoding="utf-8"?>
<comments xmlns="http://schemas.openxmlformats.org/spreadsheetml/2006/main">
  <authors>
    <author>Edmund C. DeCaria</author>
  </authors>
  <commentList>
    <comment ref="AA1" authorId="0">
      <text>
        <r>
          <rPr>
            <sz val="8"/>
            <rFont val="Tahoma"/>
            <family val="0"/>
          </rPr>
          <t>Select to show magnitude of buyers/dollars converted/leaked.</t>
        </r>
      </text>
    </comment>
    <comment ref="AL1" authorId="0">
      <text>
        <r>
          <rPr>
            <sz val="8"/>
            <rFont val="Tahoma"/>
            <family val="0"/>
          </rPr>
          <t>Most often used for RMA-based leakage trees where user must remove KA retailers that are under the RMA umbrella. Typically only one Retailer is removed, but extra slots are provided in case other needs arise.</t>
        </r>
      </text>
    </comment>
    <comment ref="AA2" authorId="0">
      <text>
        <r>
          <rPr>
            <sz val="8"/>
            <rFont val="Tahoma"/>
            <family val="0"/>
          </rPr>
          <t>Select to show improvement or decline vs. year ago period.</t>
        </r>
      </text>
    </comment>
    <comment ref="AA3" authorId="0">
      <text>
        <r>
          <rPr>
            <sz val="8"/>
            <rFont val="Tahoma"/>
            <family val="0"/>
          </rPr>
          <t>Select to show calculated $ opportunity from 1 additional point of buyer conversion.</t>
        </r>
      </text>
    </comment>
    <comment ref="AA4" authorId="0">
      <text>
        <r>
          <rPr>
            <sz val="8"/>
            <rFont val="Tahoma"/>
            <family val="0"/>
          </rPr>
          <t>Select to combine all but the top three displayed channels into one "All Other" group.</t>
        </r>
      </text>
    </comment>
    <comment ref="C8" authorId="0">
      <text>
        <r>
          <rPr>
            <sz val="8"/>
            <rFont val="Tahoma"/>
            <family val="0"/>
          </rPr>
          <t>List of parameters used in this leakage analysis.</t>
        </r>
      </text>
    </comment>
    <comment ref="V8" authorId="0">
      <text>
        <r>
          <rPr>
            <sz val="8"/>
            <rFont val="Tahoma"/>
            <family val="0"/>
          </rPr>
          <t>How many households (in the selected segment or demographic) are in the market?</t>
        </r>
      </text>
    </comment>
    <comment ref="P11" authorId="0">
      <text>
        <r>
          <rPr>
            <sz val="8"/>
            <rFont val="Tahoma"/>
            <family val="0"/>
          </rPr>
          <t>Of all of the households in the market, how many are shopping at this retailer?</t>
        </r>
      </text>
    </comment>
    <comment ref="AB11" authorId="0">
      <text>
        <r>
          <rPr>
            <sz val="8"/>
            <rFont val="Tahoma"/>
            <family val="0"/>
          </rPr>
          <t>Of all of the households in the market, how many do not shop at this retailer?</t>
        </r>
      </text>
    </comment>
    <comment ref="J15" authorId="0">
      <text>
        <r>
          <rPr>
            <sz val="8"/>
            <rFont val="Tahoma"/>
            <family val="0"/>
          </rPr>
          <t>Of the households shopping at this retailer, how many are buying this product ANYWHERE?</t>
        </r>
      </text>
    </comment>
    <comment ref="V15" authorId="0">
      <text>
        <r>
          <rPr>
            <sz val="8"/>
            <rFont val="Tahoma"/>
            <family val="0"/>
          </rPr>
          <t>Of the households shopping at this retailer, how many are NOT buying this product at all?</t>
        </r>
      </text>
    </comment>
    <comment ref="J19" authorId="0">
      <text>
        <r>
          <rPr>
            <sz val="8"/>
            <rFont val="Tahoma"/>
            <family val="0"/>
          </rPr>
          <t>Of the households shopping at this retailer who buy the product somewhere, how many buy the product AT THIS RETAILER?</t>
        </r>
      </text>
    </comment>
    <comment ref="R19" authorId="0">
      <text>
        <r>
          <rPr>
            <sz val="8"/>
            <rFont val="Tahoma"/>
            <family val="0"/>
          </rPr>
          <t>Of the households shopping at this retailer who buy the product somewhere, how many buy the product exclusively elsewhere?</t>
        </r>
      </text>
    </comment>
    <comment ref="E28" authorId="0">
      <text>
        <r>
          <rPr>
            <sz val="8"/>
            <rFont val="Tahoma"/>
            <family val="0"/>
          </rPr>
          <t>What % of converted buyer product dollars are captured by this retailer?</t>
        </r>
      </text>
    </comment>
    <comment ref="L28" authorId="0">
      <text>
        <r>
          <rPr>
            <sz val="8"/>
            <rFont val="Tahoma"/>
            <family val="0"/>
          </rPr>
          <t>What % of converted buyer product dollars are leaked elsewhere?</t>
        </r>
      </text>
    </comment>
    <comment ref="V28" authorId="0">
      <text>
        <r>
          <rPr>
            <sz val="8"/>
            <rFont val="Tahoma"/>
            <family val="0"/>
          </rPr>
          <t>How much do the retailer's unconverted buyers spend on the product outside of the retailer's stores?</t>
        </r>
      </text>
    </comment>
    <comment ref="C33" authorId="0">
      <text>
        <r>
          <rPr>
            <sz val="8"/>
            <rFont val="Tahoma"/>
            <family val="0"/>
          </rPr>
          <t>Among converted buyers, what % of product spend is being leaked by channel?  Up to four channels will be shown in descending order of leakage %. The retailer's own dollars captured is backed out of its parent channel. The sum of the four displayed channels should approach the total "Leaked Elsewhere" % shown in the red box above. This plus the retailer's own dollars captured will total approximately 100%.</t>
        </r>
      </text>
    </comment>
    <comment ref="AF33" authorId="0">
      <text>
        <r>
          <rPr>
            <sz val="8"/>
            <rFont val="Tahoma"/>
            <family val="0"/>
          </rPr>
          <t>Among unconverted buyers, what % of product spend is being leaked by channel?  Up to four channels will be shown in descending order of leakage %. The sum of the four displayed channels should approach 100%.</t>
        </r>
      </text>
    </comment>
    <comment ref="C36" authorId="0">
      <text>
        <r>
          <rPr>
            <sz val="8"/>
            <rFont val="Tahoma"/>
            <family val="0"/>
          </rPr>
          <t>Among converted buyers, what % of product spend is being leaked by individual retailer within each channel?  Up to seven retailers within each channel will be shown in descending order of leakage %. The sum of the displayed retailers should approach the total channel leakage percentage, but in some cases (e.g., Total U.S. GroceryX) the sum of individual retailers will be far short of the channel total if the list of retailers included in the competitive set is not comprehensive.</t>
        </r>
      </text>
    </comment>
    <comment ref="S36" authorId="0">
      <text>
        <r>
          <rPr>
            <sz val="8"/>
            <rFont val="Tahoma"/>
            <family val="0"/>
          </rPr>
          <t>Among unconverted buyers, what % of product spend is being leaked by individual retailer within each channel?  Up to seven retailers within each channel will be shown in descending order of leakage %. The sum of the displayed retailers should approach the total channel leakage percentage, but in some cases (e.g., Total U.S. GroceryX) the sum of individual retailers will be far short of the channel total if the list of retailers included in the competitive set is not comprehensive.</t>
        </r>
      </text>
    </comment>
    <comment ref="EE110" authorId="0">
      <text>
        <r>
          <rPr>
            <b/>
            <sz val="9"/>
            <rFont val="Tahoma"/>
            <family val="0"/>
          </rPr>
          <t xml:space="preserve">Corner Case:
</t>
        </r>
        <r>
          <rPr>
            <sz val="9"/>
            <rFont val="Tahoma"/>
            <family val="0"/>
          </rPr>
          <t>If Food channel sales are not null for YA, but WM NeighMkts is null for YA, channel will still report full value even though WM NeighMkts should be backed out. Similarly, if MASS/SUPCEN channel sales are not null for YA, but Walmart Mass/SC is null for YA, channel will still report full value even though Walmart Mass/SC should be backed out.</t>
        </r>
      </text>
    </comment>
    <comment ref="EF110" authorId="0">
      <text>
        <r>
          <rPr>
            <b/>
            <sz val="9"/>
            <rFont val="Tahoma"/>
            <family val="0"/>
          </rPr>
          <t xml:space="preserve">Corner Case:
</t>
        </r>
        <r>
          <rPr>
            <sz val="9"/>
            <rFont val="Tahoma"/>
            <family val="0"/>
          </rPr>
          <t>If Food channel sales are not null for YA, but WM NeighMkts is null for YA, channel will still report full value even though WM NeighMkts should be backed out. Similarly, if MASS/SUPCEN channel sales are not null for YA, but Walmart Mass/SC is null for YA, channel will still report full value even though Walmart Mass/SC should be backed out.</t>
        </r>
      </text>
    </comment>
    <comment ref="CW111" authorId="0">
      <text>
        <r>
          <rPr>
            <sz val="9"/>
            <rFont val="Tahoma"/>
            <family val="0"/>
          </rPr>
          <t>IFERROR check designed because geography name COULD have 2+ instances of " - "</t>
        </r>
      </text>
    </comment>
  </commentList>
</comments>
</file>

<file path=xl/sharedStrings.xml><?xml version="1.0" encoding="utf-8"?>
<sst xmlns="http://schemas.openxmlformats.org/spreadsheetml/2006/main" count="12318" uniqueCount="514">
  <si>
    <t>Leakage Tree Analysis</t>
  </si>
  <si>
    <t>CONVERTED BUYERS</t>
  </si>
  <si>
    <t>UNCONVERTED BUYERS</t>
  </si>
  <si>
    <t>Outlet</t>
  </si>
  <si>
    <t>Retailer</t>
  </si>
  <si>
    <t>Set_CB_OutletRank</t>
  </si>
  <si>
    <t>Set_UCB_OutletRank</t>
  </si>
  <si>
    <t>CB_OutletRank</t>
  </si>
  <si>
    <t>UCB_OutletRank</t>
  </si>
  <si>
    <t>Outlet 1</t>
  </si>
  <si>
    <t>Outlet 2</t>
  </si>
  <si>
    <t>Outlet 3</t>
  </si>
  <si>
    <t>Outlet 4</t>
  </si>
  <si>
    <t>Converted Buyers 1</t>
  </si>
  <si>
    <t>Retailer Rank 1</t>
  </si>
  <si>
    <t>Converted Buyers 2</t>
  </si>
  <si>
    <t>Retailer Rank 2</t>
  </si>
  <si>
    <t>Converted Buyers 3</t>
  </si>
  <si>
    <t>Retailer Rank 3</t>
  </si>
  <si>
    <t>Converted Buyers 4</t>
  </si>
  <si>
    <t>Retailer Rank 4</t>
  </si>
  <si>
    <t>Unconverted Buyers 1</t>
  </si>
  <si>
    <t>Unconverted Buyers 2</t>
  </si>
  <si>
    <t>Unconverted Buyers 3</t>
  </si>
  <si>
    <t>Unconverted Buyers 4</t>
  </si>
  <si>
    <t xml:space="preserve"> Include Actual HHs and Dollar Values?</t>
  </si>
  <si>
    <t>Add "x" to box</t>
  </si>
  <si>
    <t>DISPLAY OPTIONS:</t>
  </si>
  <si>
    <t xml:space="preserve"> Include Change vs YA?</t>
  </si>
  <si>
    <t>WM_Flag</t>
  </si>
  <si>
    <t>Product Dollars (G2 Unconverted Buyers)</t>
  </si>
  <si>
    <t>Leakage Dollars Captured - Converted Buyers</t>
  </si>
  <si>
    <t>Current</t>
  </si>
  <si>
    <t>Change vs YA</t>
  </si>
  <si>
    <t>Channel</t>
  </si>
  <si>
    <t>CB</t>
  </si>
  <si>
    <t>UCB</t>
  </si>
  <si>
    <t>Calculations for Leakage Tree</t>
  </si>
  <si>
    <t xml:space="preserve"> </t>
  </si>
  <si>
    <t>Scroll Down for Leakage Tree Raw Data and Calculations</t>
  </si>
  <si>
    <t>Scroll Across for Leakage Tree Raw Data and Calculations</t>
  </si>
  <si>
    <t>Geography</t>
  </si>
  <si>
    <t>Outlet Parent</t>
  </si>
  <si>
    <t>Outlet Checklist</t>
  </si>
  <si>
    <t>Formula Logic:</t>
  </si>
  <si>
    <t>Non-Standard Geography</t>
  </si>
  <si>
    <r>
      <t xml:space="preserve">BUYER CONVERSION
</t>
    </r>
    <r>
      <rPr>
        <i/>
        <sz val="14"/>
        <rFont val="Arial"/>
        <family val="0"/>
      </rPr>
      <t>Households</t>
    </r>
  </si>
  <si>
    <r>
      <t xml:space="preserve">LEAKAGE
</t>
    </r>
    <r>
      <rPr>
        <i/>
        <sz val="14"/>
        <rFont val="Arial"/>
        <family val="0"/>
      </rPr>
      <t>Dollars</t>
    </r>
  </si>
  <si>
    <t>Is Mixed Channel Geog?</t>
  </si>
  <si>
    <t>Is RMA?</t>
  </si>
  <si>
    <t>IF1(this row is a real channel,THEN IF2,ELSE NULL)
IF2(CX101 refers to WM NeighMkt and CW107 SOP has first 10 digits "ALL OUTLET" to verify that), THEN channel LeakageDollars-ConvertedBuyers minus vlookup'd WM M/SC/NM retailer backout if the channel in the current row contains WM NeighMkt-related dollars, ELSE naturally occurring channel LeakageDollars-ConvertedBuyers[with forced RMA backout if necessary])</t>
  </si>
  <si>
    <t>These six columns (EC:EH) are a necessary workaround for leakage trees that use the Walmart Mixed Channel Retailer or an RMA as the target geography (that selected in the Geography 2 dimension)</t>
  </si>
  <si>
    <t>Highlight the outlined area above (or select range name "LeakageTreePicture") and paste (as a Bitmap or Device Independent Bitmap) into PowerPoint.</t>
  </si>
  <si>
    <t>x</t>
  </si>
  <si>
    <t>All Outlets</t>
  </si>
  <si>
    <t>Club</t>
  </si>
  <si>
    <t>Convenience-Gas</t>
  </si>
  <si>
    <t>Dollar</t>
  </si>
  <si>
    <t>Drug</t>
  </si>
  <si>
    <t>GroceryX</t>
  </si>
  <si>
    <t>Hardware-Home</t>
  </si>
  <si>
    <t>MassX and SupercenterX</t>
  </si>
  <si>
    <t>MassX</t>
  </si>
  <si>
    <t>SupercenterX</t>
  </si>
  <si>
    <t>Pet</t>
  </si>
  <si>
    <t>Specialty Stores</t>
  </si>
  <si>
    <t>Toy</t>
  </si>
  <si>
    <t>Walmart Corporate</t>
  </si>
  <si>
    <t>BJ's Corp-RMA</t>
  </si>
  <si>
    <t>BJ's Mid Atlantic-RMA</t>
  </si>
  <si>
    <t>BJ's Northeast-RMA</t>
  </si>
  <si>
    <t>BJ's Southeast-RMA</t>
  </si>
  <si>
    <t>Dollar General-Great Lakes-RMA</t>
  </si>
  <si>
    <t>Dollar General-Mid South-RMA</t>
  </si>
  <si>
    <t>Dollar General-Northeast-RMA</t>
  </si>
  <si>
    <t>Dollar General-Plains-RMA</t>
  </si>
  <si>
    <t>Dollar General-South Central-RMA</t>
  </si>
  <si>
    <t>Dollar General-Southeast-RMA</t>
  </si>
  <si>
    <t>Dollar General-Total U.S.-RMA</t>
  </si>
  <si>
    <t>Dollar General-West-RMA</t>
  </si>
  <si>
    <t>Family Dollar-Great Lakes-RMA</t>
  </si>
  <si>
    <t>Family Dollar-Mid South-RMA</t>
  </si>
  <si>
    <t>Family Dollar-Northeast-RMA</t>
  </si>
  <si>
    <t>Family Dollar-Plains-RMA</t>
  </si>
  <si>
    <t>Family Dollar-South Central-RMA</t>
  </si>
  <si>
    <t>Family Dollar-Southeast-RMA</t>
  </si>
  <si>
    <t>Family Dollar-Total U.S.-RMA</t>
  </si>
  <si>
    <t>Family Dollar-West-RMA</t>
  </si>
  <si>
    <t>Freds Dollar-RMA</t>
  </si>
  <si>
    <t>CVS Corp Total-RMA</t>
  </si>
  <si>
    <t>CVS Deep South-RMA</t>
  </si>
  <si>
    <t>CVS Michigan-RMA</t>
  </si>
  <si>
    <t>CVS Midsouth-RMA</t>
  </si>
  <si>
    <t>CVS Midwest-RMA</t>
  </si>
  <si>
    <t>CVS Northeast-RMA</t>
  </si>
  <si>
    <t>CVS Southwest-RMA</t>
  </si>
  <si>
    <t>CVS West-RMA</t>
  </si>
  <si>
    <t>CVS+Longs Corp Total-RMA</t>
  </si>
  <si>
    <t>CVS+Longs NOCAL-RMA</t>
  </si>
  <si>
    <t>CVS+Longs SOCAL-RMA</t>
  </si>
  <si>
    <t>CVS+Longs Southwest-RMA</t>
  </si>
  <si>
    <t>CVS+Longs West Region-RMA</t>
  </si>
  <si>
    <t>Longs Corp Total-RMA</t>
  </si>
  <si>
    <t>Longs Northern California-RMA</t>
  </si>
  <si>
    <t>Longs Southern California-RMA</t>
  </si>
  <si>
    <t>Longs Southwest-RMA</t>
  </si>
  <si>
    <t>Rite Aid Northeast Division-RMA</t>
  </si>
  <si>
    <t>Rite Aid NY Metro Division-RMA</t>
  </si>
  <si>
    <t>Rite Aid South Division-RMA</t>
  </si>
  <si>
    <t>Rite Aid Total Corp-RMA</t>
  </si>
  <si>
    <t>Rite Aid West Division-RMA</t>
  </si>
  <si>
    <t>Walgreens-California-RMA</t>
  </si>
  <si>
    <t>Walgreens-Corp w/ Duane Reade-RMA</t>
  </si>
  <si>
    <t>Walgreens-Corp w/out Puerto Rico-RMA</t>
  </si>
  <si>
    <t>Walgreens-Corp-RMA</t>
  </si>
  <si>
    <t>Walgreens-Duane Reade-RMA</t>
  </si>
  <si>
    <t>Walgreens-Great Lakes-RMA</t>
  </si>
  <si>
    <t>Walgreens-Mid South-RMA</t>
  </si>
  <si>
    <t>Walgreens-Northeast-RMA</t>
  </si>
  <si>
    <t>Walgreens-Plains-RMA</t>
  </si>
  <si>
    <t>Walgreens-South Central-RMA</t>
  </si>
  <si>
    <t>Walgreens-Southeast-RMA</t>
  </si>
  <si>
    <t>Walgreens-West-RMA</t>
  </si>
  <si>
    <t>A&amp;P Banner-RMA</t>
  </si>
  <si>
    <t>A&amp;P Corp w/ Pathmark-RMA</t>
  </si>
  <si>
    <t>A&amp;P Corp-RMA</t>
  </si>
  <si>
    <t>A&amp;P NY Metro-RMA</t>
  </si>
  <si>
    <t>A&amp;P Pathmark Corp-RMA</t>
  </si>
  <si>
    <t>A&amp;P Pathmark New York-RMA</t>
  </si>
  <si>
    <t>A&amp;P Pathmark Philadelphia-RMA</t>
  </si>
  <si>
    <t>A&amp;P Waldbaums-RMA</t>
  </si>
  <si>
    <t>Ahold Corp-RMA</t>
  </si>
  <si>
    <t>Ahold Giant Maryland Region 5-RMA</t>
  </si>
  <si>
    <t>Ahold Giant Maryland Region 6-RMA</t>
  </si>
  <si>
    <t>Ahold Giant Maryland Region 7-RMA</t>
  </si>
  <si>
    <t>Ahold Giant Maryland Total-RMA</t>
  </si>
  <si>
    <t>Ahold Giant Pennsylvania East-RMA</t>
  </si>
  <si>
    <t>Ahold Giant Pennsylvania Total-RMA</t>
  </si>
  <si>
    <t>Ahold Giant Pennsylvania West-RMA</t>
  </si>
  <si>
    <t>Ahold Stop &amp; Shop / Giant Maryland Total-RMA</t>
  </si>
  <si>
    <t>Ahold Stop &amp; Shop New England Region 1-RMA</t>
  </si>
  <si>
    <t>Ahold Stop &amp; Shop New England Region 2-RMA</t>
  </si>
  <si>
    <t>Ahold Stop &amp; Shop New England Region 9-RMA</t>
  </si>
  <si>
    <t>Ahold Stop &amp; Shop New England-RMA</t>
  </si>
  <si>
    <t>Ahold Stop &amp; Shop New York Region 3-RMA</t>
  </si>
  <si>
    <t>Ahold Stop &amp; Shop New York Region 4-RMA</t>
  </si>
  <si>
    <t>Ahold Stop &amp; Shop New York Region 8-RMA</t>
  </si>
  <si>
    <t>Ahold Stop &amp; Shop New York-RMA</t>
  </si>
  <si>
    <t>Ahold Stop &amp; Shop Total-RMA</t>
  </si>
  <si>
    <t>Albertsons LLC Arizona-RMA</t>
  </si>
  <si>
    <t>Albertsons LLC Corp-RMA</t>
  </si>
  <si>
    <t>Albertsons LLC Dallas-RMA</t>
  </si>
  <si>
    <t>Albertsons LLC Florida-RMA</t>
  </si>
  <si>
    <t>Albertsons LLC Rocky Mountain-RMA</t>
  </si>
  <si>
    <t>Albertsons LLC South Division-RMA</t>
  </si>
  <si>
    <t>Albertsons LLC Southwest Division-RMA</t>
  </si>
  <si>
    <t>Albertsons LLC Southwest-RMA</t>
  </si>
  <si>
    <t>Albertsons LLC Texas-RMA</t>
  </si>
  <si>
    <t>Bashas' Corp w/ AJ's-RMA</t>
  </si>
  <si>
    <t>Bashas' Corp-RMA</t>
  </si>
  <si>
    <t>Bashas'-RMA</t>
  </si>
  <si>
    <t>Big Y-RMA</t>
  </si>
  <si>
    <t>Bi-Lo Central-RMA</t>
  </si>
  <si>
    <t>Bi-Lo Corp-RMA</t>
  </si>
  <si>
    <t>Bi-Lo Eastern-RMA</t>
  </si>
  <si>
    <t>Bi-Lo Foothills-RMA</t>
  </si>
  <si>
    <t>Brookshire Grocery Corp-RMA</t>
  </si>
  <si>
    <t>Brookshire's Food Stores-RMA</t>
  </si>
  <si>
    <t>C&amp;S Corp-RMA</t>
  </si>
  <si>
    <t>Delhaize Bottom Dollar Corp-RMA</t>
  </si>
  <si>
    <t>Delhaize Corp-RMA</t>
  </si>
  <si>
    <t>Delhaize Food Lion Atlantic-RMA</t>
  </si>
  <si>
    <t>Delhaize Food Lion Corp-RMA</t>
  </si>
  <si>
    <t>Delhaize Food Lion Northeast-RMA</t>
  </si>
  <si>
    <t>Delhaize Food Lion Southeast-RMA</t>
  </si>
  <si>
    <t>Delhaize Food Lion Southwest-RMA</t>
  </si>
  <si>
    <t>Delhaize Food Lion Total-RMA</t>
  </si>
  <si>
    <t>Delhaize Hannaford Corp-RMA</t>
  </si>
  <si>
    <t>Delhaize Hannaford Maine/New Hampshire-RMA</t>
  </si>
  <si>
    <t>Delhaize Hannaford Massachusetts-RMA</t>
  </si>
  <si>
    <t>Delhaize Hannaford New York/Vermont-RMA</t>
  </si>
  <si>
    <t>Delhaize Sweetbay-RMA</t>
  </si>
  <si>
    <t>Demoulas-RMA</t>
  </si>
  <si>
    <t>Dierbergs Markets-RMA</t>
  </si>
  <si>
    <t>Four B Ball's Price Chopper-RMA</t>
  </si>
  <si>
    <t>Four B Corp-RMA</t>
  </si>
  <si>
    <t>Giant Eagle All Other-RMA</t>
  </si>
  <si>
    <t>Giant Eagle Cleveland-RMA</t>
  </si>
  <si>
    <t>Giant Eagle Corp w/out All Other-RMA</t>
  </si>
  <si>
    <t>Giant Eagle Corp-RMA</t>
  </si>
  <si>
    <t>Giant Eagle Pittsburgh-RMA</t>
  </si>
  <si>
    <t>HAC, Inc-RMA</t>
  </si>
  <si>
    <t>Harris Teeter Corp-RMA</t>
  </si>
  <si>
    <t>Homeland-RMA</t>
  </si>
  <si>
    <t>Hy-Vee Corp-RMA</t>
  </si>
  <si>
    <t>Ingles Classic-RMA</t>
  </si>
  <si>
    <t>Ingles Corp-RMA</t>
  </si>
  <si>
    <t>Kroger Atlanta-RMA</t>
  </si>
  <si>
    <t>Kroger Banner Total-RMA</t>
  </si>
  <si>
    <t>Kroger Central-RMA</t>
  </si>
  <si>
    <t>Kroger Cincinnati-RMA</t>
  </si>
  <si>
    <t>Kroger Columbus-RMA</t>
  </si>
  <si>
    <t>Kroger Coordinated-RMA</t>
  </si>
  <si>
    <t>Kroger Corp-RMA</t>
  </si>
  <si>
    <t>Kroger Dallas-RMA</t>
  </si>
  <si>
    <t>Kroger Delta-RMA</t>
  </si>
  <si>
    <t>Kroger Dillon Corp-RMA</t>
  </si>
  <si>
    <t>Kroger Dillon-RMA</t>
  </si>
  <si>
    <t>Kroger Food 4 Less Corp-RMA</t>
  </si>
  <si>
    <t>Kroger Food 4 Less Midwest-RMA</t>
  </si>
  <si>
    <t>Kroger Food 4 Less South-RMA</t>
  </si>
  <si>
    <t>Kroger Fred Meyer All Other/Oregon-RMA</t>
  </si>
  <si>
    <t>Kroger Fred Meyer Corp w/out Alaska-RMA</t>
  </si>
  <si>
    <t>Kroger Fred Meyer Corp-RMA</t>
  </si>
  <si>
    <t>Kroger Fred Meyer Portland/Vancouver-RMA</t>
  </si>
  <si>
    <t>Kroger Fred Meyer Puget Sound-RMA</t>
  </si>
  <si>
    <t>Kroger Fred Meyer Washington/Idaho-RMA</t>
  </si>
  <si>
    <t>Kroger Fry's-RMA</t>
  </si>
  <si>
    <t>Kroger Great Lakes-RMA</t>
  </si>
  <si>
    <t>Kroger Houston-RMA</t>
  </si>
  <si>
    <t>Kroger King Soopers/City Market-RMA</t>
  </si>
  <si>
    <t>Kroger King Soopers-RMA</t>
  </si>
  <si>
    <t>Kroger Michigan-RMA</t>
  </si>
  <si>
    <t>Kroger Mid-Atlantic-RMA</t>
  </si>
  <si>
    <t>Kroger Mid-South-RMA</t>
  </si>
  <si>
    <t>Kroger Peyton-RMA</t>
  </si>
  <si>
    <t>Kroger QFC Corp-RMA</t>
  </si>
  <si>
    <t>Kroger QFC Seattle-RMA</t>
  </si>
  <si>
    <t>Kroger Ralphs/Food 4 Less Corp-RMA</t>
  </si>
  <si>
    <t>Kroger Ralphs-RMA</t>
  </si>
  <si>
    <t>Kroger Smiths Corp-RMA</t>
  </si>
  <si>
    <t>Kroger Smiths Inter Mountain-RMA</t>
  </si>
  <si>
    <t>Kroger Smiths Las Vegas-RMA</t>
  </si>
  <si>
    <t>Kroger Southwest-RMA</t>
  </si>
  <si>
    <t>Lowes Corp-RMA</t>
  </si>
  <si>
    <t>Marsh Corp-RMA</t>
  </si>
  <si>
    <t>Marsh Marketplace-RMA</t>
  </si>
  <si>
    <t>Price Chopper Corp-RMA</t>
  </si>
  <si>
    <t>Price Chopper NY excluding Southern Tier-RMA</t>
  </si>
  <si>
    <t>Publix Atlanta-RMA</t>
  </si>
  <si>
    <t>Publix Corp-RMA</t>
  </si>
  <si>
    <t>Publix Jacksonville-RMA</t>
  </si>
  <si>
    <t>Publix Lakeland-RMA</t>
  </si>
  <si>
    <t>Publix Miami-RMA</t>
  </si>
  <si>
    <t>Raley's + Bel Air Sacramento-RMA</t>
  </si>
  <si>
    <t>Raley's + Bel Air Total-RMA</t>
  </si>
  <si>
    <t>Raley's Total Corp-RMA</t>
  </si>
  <si>
    <t>Roundy's Corp-RMA</t>
  </si>
  <si>
    <t>Roundy's Rainbow-RMA</t>
  </si>
  <si>
    <t>Roundy's Wisconsin Milwaukee-RMA</t>
  </si>
  <si>
    <t>Roundy's Wisconsin-RMA</t>
  </si>
  <si>
    <t>Safeway Corp w/out AK/HI-RMA</t>
  </si>
  <si>
    <t>Safeway Corp-RMA</t>
  </si>
  <si>
    <t>Safeway Denver Division-RMA</t>
  </si>
  <si>
    <t>Safeway Dominicks Division-RMA</t>
  </si>
  <si>
    <t>Safeway Eastern Division-RMA</t>
  </si>
  <si>
    <t>Safeway Northern CA Division-RMA</t>
  </si>
  <si>
    <t>Safeway Northern CA w/out HI Division-RMA</t>
  </si>
  <si>
    <t>Safeway Phoenix Division-RMA</t>
  </si>
  <si>
    <t>Safeway Portland Division-RMA</t>
  </si>
  <si>
    <t>Safeway Randalls Houston-RMA</t>
  </si>
  <si>
    <t>Safeway Randalls/Tom Thumb Division-RMA</t>
  </si>
  <si>
    <t>Safeway Seattle Division-RMA</t>
  </si>
  <si>
    <t>Safeway Seattle w/out AK Division-RMA</t>
  </si>
  <si>
    <t>Safeway Tom Thumb-RMA</t>
  </si>
  <si>
    <t>Safeway Vons Division-RMA</t>
  </si>
  <si>
    <t>Save Mart Corp w/out Food Maxx-RMA</t>
  </si>
  <si>
    <t>Save Mart Corp-RMA</t>
  </si>
  <si>
    <t>Save Mart Food Maxx North-RMA</t>
  </si>
  <si>
    <t>Save Mart Food Maxx Total-RMA</t>
  </si>
  <si>
    <t>Save Mart Lucky Total-RMA</t>
  </si>
  <si>
    <t>Save Mart North-RMA</t>
  </si>
  <si>
    <t>Save Mart South-RMA</t>
  </si>
  <si>
    <t>Save Mart Total-RMA</t>
  </si>
  <si>
    <t>Schnucks Corp Total-RMA</t>
  </si>
  <si>
    <t>Schnucks St Louis-RMA</t>
  </si>
  <si>
    <t>Spartan Corp-RMA</t>
  </si>
  <si>
    <t>Spartan Family Fare-RMA</t>
  </si>
  <si>
    <t>Spartan West-RMA</t>
  </si>
  <si>
    <t>Stater Bros Corp-RMA</t>
  </si>
  <si>
    <t>Stater Bros Inland Empire-RMA</t>
  </si>
  <si>
    <t>Stater Bros Orange County/San Diego-RMA</t>
  </si>
  <si>
    <t>Strack &amp; Van Til Total Corp-RMA</t>
  </si>
  <si>
    <t>Strack &amp; Van Til Total Illinois-RMA</t>
  </si>
  <si>
    <t>SUPERVALU Alb Acme Division-RMA</t>
  </si>
  <si>
    <t>SUPERVALU Alb Acme Philadelphia-RMA</t>
  </si>
  <si>
    <t>SUPERVALU Alb Intermountain Division-RMA</t>
  </si>
  <si>
    <t>SUPERVALU Alb Intermountain West Division-RMA</t>
  </si>
  <si>
    <t>SUPERVALU Alb Jewel Chicago-RMA</t>
  </si>
  <si>
    <t>SUPERVALU Alb Jewel Division-RMA</t>
  </si>
  <si>
    <t>SUPERVALU Alb Northwest Division-RMA</t>
  </si>
  <si>
    <t>SUPERVALU Alb Northwest Oregon-RMA</t>
  </si>
  <si>
    <t>SUPERVALU Alb Northwest West Washington-RMA</t>
  </si>
  <si>
    <t>SUPERVALU Alb Shaws Division-RMA</t>
  </si>
  <si>
    <t>SUPERVALU Alb Shaws Massachusetts/Rhode Island-RMA</t>
  </si>
  <si>
    <t>SUPERVALU Alb Shaws New England-RMA</t>
  </si>
  <si>
    <t>SUPERVALU Alb Southern California Division-RMA</t>
  </si>
  <si>
    <t>SUPERVALU Alb Southern California Los Angeles-RMA</t>
  </si>
  <si>
    <t>SUPERVALU Alb Southern California San Diego-RMA</t>
  </si>
  <si>
    <t>SUPERVALU Cub Minneapolis/St Paul-RMA</t>
  </si>
  <si>
    <t>SUPERVALU Cub Total-RMA</t>
  </si>
  <si>
    <t>SUPERVALU Farm Fresh-RMA</t>
  </si>
  <si>
    <t>SUPERVALU Shop N Save-RMA</t>
  </si>
  <si>
    <t>SUPERVALU Shoppers Food-RMA</t>
  </si>
  <si>
    <t>SUPERVALU Total Centralized Corp-RMA</t>
  </si>
  <si>
    <t>SUPERVALU Total Corp-RMA</t>
  </si>
  <si>
    <t>SUPERVALU Total Decentralized Corp-RMA</t>
  </si>
  <si>
    <t>Tops Central-RMA</t>
  </si>
  <si>
    <t>Tops Total-RMA</t>
  </si>
  <si>
    <t>Tops Western-RMA</t>
  </si>
  <si>
    <t>Wakefern Combo 3,4,5-RMA</t>
  </si>
  <si>
    <t>Wakefern Corp-RMA</t>
  </si>
  <si>
    <t>Wakefern Zone 1-RMA</t>
  </si>
  <si>
    <t>Wakefern Zone 2-RMA</t>
  </si>
  <si>
    <t>Wakefern Zone 3-RMA</t>
  </si>
  <si>
    <t>Wegmans Buffalo/Rochester-RMA</t>
  </si>
  <si>
    <t>Wegmans Buffalo-RMA</t>
  </si>
  <si>
    <t>Wegmans Corp w/out NJ/PA/VA/Other-RMA</t>
  </si>
  <si>
    <t>Wegmans Corp-RMA</t>
  </si>
  <si>
    <t>Wegmans NJ/PA/VA-RMA</t>
  </si>
  <si>
    <t>Wegmans Rochester-RMA</t>
  </si>
  <si>
    <t>Weis Corp-RMA</t>
  </si>
  <si>
    <t>Winn Dixie Central-RMA</t>
  </si>
  <si>
    <t>Winn Dixie Corp-RMA</t>
  </si>
  <si>
    <t>Winn Dixie South-RMA</t>
  </si>
  <si>
    <t>Winn Dixie West-RMA</t>
  </si>
  <si>
    <t>Kmart Corp California-RMA</t>
  </si>
  <si>
    <t>Kmart Corp Great Lakes-RMA</t>
  </si>
  <si>
    <t>Kmart Corp Mid-South-RMA</t>
  </si>
  <si>
    <t>Kmart Corp Northeast-RMA</t>
  </si>
  <si>
    <t>Kmart Corp Plains-RMA</t>
  </si>
  <si>
    <t>Kmart Corp South Central-RMA</t>
  </si>
  <si>
    <t>Kmart Corp Southeast-RMA</t>
  </si>
  <si>
    <t>Kmart Corp West-RMA</t>
  </si>
  <si>
    <t>Kmart Supers Corp-RMA</t>
  </si>
  <si>
    <t>Kmart Supers Great Lakes-RMA</t>
  </si>
  <si>
    <t>Kmart Total Corp-RMA</t>
  </si>
  <si>
    <t>Kmart/Big K California-RMA</t>
  </si>
  <si>
    <t>Kmart/Big K Corp-RMA</t>
  </si>
  <si>
    <t>Kmart/Big K Great Lakes-RMA</t>
  </si>
  <si>
    <t>Kmart/Big K Mid-South-RMA</t>
  </si>
  <si>
    <t>Kmart/Big K Northeast-RMA</t>
  </si>
  <si>
    <t>Kmart/Big K Plains-RMA</t>
  </si>
  <si>
    <t>Kmart/Big K South Central-RMA</t>
  </si>
  <si>
    <t>Kmart/Big K Southeast-RMA</t>
  </si>
  <si>
    <t>Kmart/Big K West-RMA</t>
  </si>
  <si>
    <t>Shopko Corp Total-RMA</t>
  </si>
  <si>
    <t>Target Atlanta-RMA</t>
  </si>
  <si>
    <t>Target Baltimore-RMA</t>
  </si>
  <si>
    <t>Target Birmingham-RMA</t>
  </si>
  <si>
    <t>Target Boston-RMA</t>
  </si>
  <si>
    <t>Target Buffalo-RMA</t>
  </si>
  <si>
    <t>Target Charlotte-RMA</t>
  </si>
  <si>
    <t>Target Chicago-RMA</t>
  </si>
  <si>
    <t>Target Cincinnati-RMA</t>
  </si>
  <si>
    <t>Target Cleveland-RMA</t>
  </si>
  <si>
    <t>Target Corp w/ Alaska &amp; Hawaii-RMA</t>
  </si>
  <si>
    <t>Target Dallas-RMA</t>
  </si>
  <si>
    <t>Target Denver-RMA</t>
  </si>
  <si>
    <t>Target Detroit-RMA</t>
  </si>
  <si>
    <t>Target Grand Rapids-RMA</t>
  </si>
  <si>
    <t>Target Hartford-RMA</t>
  </si>
  <si>
    <t>Target Houston-RMA</t>
  </si>
  <si>
    <t>Target Indianapolis-RMA</t>
  </si>
  <si>
    <t>Target Kansas City-RMA</t>
  </si>
  <si>
    <t>Target Los Angeles-RMA</t>
  </si>
  <si>
    <t>Target Miami-RMA</t>
  </si>
  <si>
    <t>Target Milwaukee-RMA</t>
  </si>
  <si>
    <t>Target Minneapolis-RMA</t>
  </si>
  <si>
    <t>Target New York-RMA</t>
  </si>
  <si>
    <t>Target Orlando-RMA</t>
  </si>
  <si>
    <t>Target Philadelphia-RMA</t>
  </si>
  <si>
    <t>Target Phoenix-RMA</t>
  </si>
  <si>
    <t>Target Pittsburgh-RMA</t>
  </si>
  <si>
    <t>Target Portland-RMA</t>
  </si>
  <si>
    <t>Target Raleigh-RMA</t>
  </si>
  <si>
    <t>Target Richmond-RMA</t>
  </si>
  <si>
    <t>Target Sacramento-RMA</t>
  </si>
  <si>
    <t>Target Salt Lake-RMA</t>
  </si>
  <si>
    <t>Target San Antonio-RMA</t>
  </si>
  <si>
    <t>Target San Diego-RMA</t>
  </si>
  <si>
    <t>Target San Francisco-RMA</t>
  </si>
  <si>
    <t>Target Seattle-RMA</t>
  </si>
  <si>
    <t>Target St. Louis-RMA</t>
  </si>
  <si>
    <t>Target Tampa Bay-RMA</t>
  </si>
  <si>
    <t>Target Total Corp-RMA</t>
  </si>
  <si>
    <t>Target Total General Merchandise w/out Super-RMA</t>
  </si>
  <si>
    <t>Target Total Super Target-RMA</t>
  </si>
  <si>
    <t>Target Washington DC-RMA</t>
  </si>
  <si>
    <t>DeCA Total CONUS-RMA</t>
  </si>
  <si>
    <t xml:space="preserve"> Include $ Opp from Buyer Conversion?</t>
  </si>
  <si>
    <t>To copy only the tree area, choose "Leakage Tree Picture" range then press CTRL+C.</t>
  </si>
  <si>
    <t>HH Demo Summary : All Income Per Capita</t>
  </si>
  <si>
    <t>Trip Mission : All Trip Missions</t>
  </si>
  <si>
    <t>Same Outlet Parent Geography</t>
  </si>
  <si>
    <t>Segment HHs</t>
  </si>
  <si>
    <t>Retailer Shoppers</t>
  </si>
  <si>
    <t>% HHs Shopping</t>
  </si>
  <si>
    <t>HH Not Shopping</t>
  </si>
  <si>
    <t>% HH Not Shopping</t>
  </si>
  <si>
    <t>Anywhere Product Buyers (G2 Shoppers)</t>
  </si>
  <si>
    <t>% All Outlet Buyer Conversion (G2 Shoppers)</t>
  </si>
  <si>
    <t>% All Outlet Buyers Unconverted (G2 Shoppers)</t>
  </si>
  <si>
    <t>Product Buyers (G2 Shoppers)</t>
  </si>
  <si>
    <t>Product Dollars  (G2 Converted Buyers)</t>
  </si>
  <si>
    <t>Leakage Dollars Captured (G2 Converted Buyers)</t>
  </si>
  <si>
    <t>% All Outlet Buyer Conversion Among Shoppers</t>
  </si>
  <si>
    <t>$ Opp 1 More Pt Buyer Conversion</t>
  </si>
  <si>
    <t/>
  </si>
  <si>
    <t>Retailer / Channel Display</t>
  </si>
  <si>
    <t>HIDE specific retailers (or entire channels) by selecting from these drop-downs:</t>
  </si>
  <si>
    <t>WMCA Geography Workaround</t>
  </si>
  <si>
    <t xml:space="preserve"> Combine Lower Ranked Channels?</t>
  </si>
  <si>
    <t>No Limit Leakage Export</t>
  </si>
  <si>
    <t xml:space="preserve">Geography 2 : Total US - Walgreens </t>
  </si>
  <si>
    <t>Time : Latest 52 Weeks Ending Aug-12-2012</t>
  </si>
  <si>
    <t>Product : INTERNAL ANALGESICS</t>
  </si>
  <si>
    <t>Parent Company : All Parent Companies</t>
  </si>
  <si>
    <t xml:space="preserve">Total US - Walgreens </t>
  </si>
  <si>
    <t>Total US - Drug</t>
  </si>
  <si>
    <t>Total US - All Outlets</t>
  </si>
  <si>
    <t>Total US - Club</t>
  </si>
  <si>
    <t xml:space="preserve">Total US - BJs Wholesale </t>
  </si>
  <si>
    <t xml:space="preserve">Total US - Costco </t>
  </si>
  <si>
    <t xml:space="preserve">Total US - Sams Club </t>
  </si>
  <si>
    <t>Total US - Convenience-Gas</t>
  </si>
  <si>
    <t>Total US - Dollar</t>
  </si>
  <si>
    <t xml:space="preserve">Total US - Dollar General </t>
  </si>
  <si>
    <t xml:space="preserve">Total US - Dollar Tree </t>
  </si>
  <si>
    <t xml:space="preserve">Total US - Family Dollar </t>
  </si>
  <si>
    <t>Total US - Freds</t>
  </si>
  <si>
    <t xml:space="preserve">Total US - CVS </t>
  </si>
  <si>
    <t xml:space="preserve">Total US - Eckerd Drug </t>
  </si>
  <si>
    <t xml:space="preserve">Total US - Osco Drugs </t>
  </si>
  <si>
    <t xml:space="preserve">Total US - Rite Aid </t>
  </si>
  <si>
    <t>Total US - GroceryX</t>
  </si>
  <si>
    <t xml:space="preserve">Total US - A&amp;P </t>
  </si>
  <si>
    <t>Total US - Albertsons LLC + SuperValu</t>
  </si>
  <si>
    <t xml:space="preserve">Total US - Aldi </t>
  </si>
  <si>
    <t xml:space="preserve">Total US - Kroger </t>
  </si>
  <si>
    <t xml:space="preserve">Total US - Meijer </t>
  </si>
  <si>
    <t xml:space="preserve">Total US - Safeway </t>
  </si>
  <si>
    <t xml:space="preserve">Total US - Save A Lot </t>
  </si>
  <si>
    <t xml:space="preserve">Total US - Shop N Save </t>
  </si>
  <si>
    <t xml:space="preserve">Total US - Trader Joes </t>
  </si>
  <si>
    <t xml:space="preserve">Total US - Whole Foods </t>
  </si>
  <si>
    <t>Total US - Hardware-Home</t>
  </si>
  <si>
    <t xml:space="preserve">Total US - Ace Hardware </t>
  </si>
  <si>
    <t xml:space="preserve">Total US - Home Depot </t>
  </si>
  <si>
    <t xml:space="preserve">Total US - Lowes Home Improvement </t>
  </si>
  <si>
    <t xml:space="preserve">Total US - True Value </t>
  </si>
  <si>
    <t>Total US - MassX and SupercenterX</t>
  </si>
  <si>
    <t xml:space="preserve">Total US - Kmart Corporate </t>
  </si>
  <si>
    <t xml:space="preserve">Total US - Target Corporate </t>
  </si>
  <si>
    <t>Total US - Pet</t>
  </si>
  <si>
    <t xml:space="preserve">Total US - Petco </t>
  </si>
  <si>
    <t xml:space="preserve">Total US - Petsmart </t>
  </si>
  <si>
    <t xml:space="preserve">Total US - Tractor Supply Company </t>
  </si>
  <si>
    <t>Total US - Specialty Stores</t>
  </si>
  <si>
    <t xml:space="preserve">Total US - Big Lots </t>
  </si>
  <si>
    <t xml:space="preserve">Total US - DeCA Commissary </t>
  </si>
  <si>
    <t>Total US - Toy</t>
  </si>
  <si>
    <t xml:space="preserve">Total US - Babies R US </t>
  </si>
  <si>
    <t xml:space="preserve">Total US - Toys R Us </t>
  </si>
  <si>
    <t>Total US - Walmart Corporate</t>
  </si>
  <si>
    <t xml:space="preserve">Total US - Walmart Division 1 </t>
  </si>
  <si>
    <t xml:space="preserve">Total US - Walmart Neighborhood Market </t>
  </si>
  <si>
    <t xml:space="preserve">Total US - Walmart Supercenter </t>
  </si>
  <si>
    <t>Military</t>
  </si>
  <si>
    <t>Internet</t>
  </si>
  <si>
    <t>Liquor</t>
  </si>
  <si>
    <t>Health/Vitamin</t>
  </si>
  <si>
    <t>Walmart Total</t>
  </si>
  <si>
    <t>$ Opportunity from 1 Additional Point of Buyer Conversion:</t>
  </si>
  <si>
    <t xml:space="preserve">CVS </t>
  </si>
  <si>
    <t xml:space="preserve">Kroger </t>
  </si>
  <si>
    <t xml:space="preserve">Walmart Supercenter </t>
  </si>
  <si>
    <t xml:space="preserve">Target Corporate </t>
  </si>
  <si>
    <t xml:space="preserve">Costco </t>
  </si>
  <si>
    <t xml:space="preserve">Rite Aid </t>
  </si>
  <si>
    <t xml:space="preserve">Meijer </t>
  </si>
  <si>
    <t xml:space="preserve">Walmart Division 1 </t>
  </si>
  <si>
    <t xml:space="preserve">Sams Club </t>
  </si>
  <si>
    <t>Albertsons LLC + SuperValu</t>
  </si>
  <si>
    <t xml:space="preserve">Walmart Neighborhood Market </t>
  </si>
  <si>
    <t xml:space="preserve">Safeway </t>
  </si>
  <si>
    <t xml:space="preserve">BJs Wholesale </t>
  </si>
  <si>
    <t xml:space="preserve">Dollar General </t>
  </si>
  <si>
    <t xml:space="preserve">Aldi </t>
  </si>
  <si>
    <t xml:space="preserve">Kmart Corporate </t>
  </si>
  <si>
    <t xml:space="preserve">Family Dollar </t>
  </si>
  <si>
    <t>N</t>
  </si>
  <si>
    <t>All Other Outlets</t>
  </si>
  <si>
    <t xml:space="preserve">Walgreens </t>
  </si>
  <si>
    <t xml:space="preserve">Dollar Tree </t>
  </si>
  <si>
    <t>Freds</t>
  </si>
  <si>
    <t xml:space="preserve">Eckerd Drug </t>
  </si>
  <si>
    <t xml:space="preserve">Osco Drugs </t>
  </si>
  <si>
    <t xml:space="preserve">A&amp;P </t>
  </si>
  <si>
    <t xml:space="preserve">Save A Lot </t>
  </si>
  <si>
    <t xml:space="preserve">Shop N Save </t>
  </si>
  <si>
    <t xml:space="preserve">Trader Joes </t>
  </si>
  <si>
    <t xml:space="preserve">Whole Foods </t>
  </si>
  <si>
    <t xml:space="preserve">Ace Hardware </t>
  </si>
  <si>
    <t xml:space="preserve">Home Depot </t>
  </si>
  <si>
    <t xml:space="preserve">Lowes Home Improvement </t>
  </si>
  <si>
    <t xml:space="preserve">True Value </t>
  </si>
  <si>
    <t xml:space="preserve">Petco </t>
  </si>
  <si>
    <t xml:space="preserve">Petsmart </t>
  </si>
  <si>
    <t xml:space="preserve">Tractor Supply Company </t>
  </si>
  <si>
    <t xml:space="preserve">Big Lots </t>
  </si>
  <si>
    <t xml:space="preserve">DeCA Commissary </t>
  </si>
  <si>
    <t xml:space="preserve">Babies R US </t>
  </si>
  <si>
    <t xml:space="preserve">Toys R Us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</si>
</sst>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6" formatCode="&quot;$&quot;#,##0_);[Red]\(&quot;$&quot;#,##0\)"/>
    <numFmt numFmtId="44" formatCode="_(&quot;$&quot;* #,##0.00_);_(&quot;$&quot;* \(#,##0.00\);_(&quot;$&quot;* &quot;-&quot;??_);_(@_)"/>
    <numFmt numFmtId="164" formatCode="0.0%"/>
    <numFmt numFmtId="165" formatCode="0.0"/>
    <numFmt numFmtId="166" formatCode="&quot;$&quot;#,##0"/>
    <numFmt numFmtId="167" formatCode="0.0000"/>
    <numFmt numFmtId="168" formatCode="_(&quot;$&quot;* #,##0_);_(&quot;$&quot;* \(#,##0\);_(&quot;$&quot;* &quot;-&quot;??_);_(@_)"/>
    <numFmt numFmtId="169" formatCode="_(&quot;$&quot;* #,##0.0_);_(&quot;$&quot;* \(#,##0.0\);_(&quot;$&quot;* &quot;-&quot;??_);_(@_)"/>
  </numFmts>
  <fonts count="33">
    <font>
      <sz val="11"/>
      <color theme="1"/>
      <name val="Calibri"/>
      <family val="0"/>
      <scheme val="minor"/>
    </font>
    <font>
      <sz val="10"/>
      <name val="Arial"/>
      <family val="0"/>
    </font>
    <font>
      <b/>
      <sz val="14"/>
      <name val="Arial"/>
      <family val="0"/>
    </font>
    <font>
      <b/>
      <sz val="10"/>
      <name val="Arial"/>
      <family val="0"/>
    </font>
    <font>
      <sz val="8"/>
      <name val="Arial"/>
      <family val="0"/>
    </font>
    <font>
      <b/>
      <sz val="16"/>
      <name val="Arial"/>
      <family val="0"/>
    </font>
    <font>
      <b/>
      <i/>
      <sz val="10"/>
      <color indexed="17"/>
      <name val="Arial"/>
      <family val="0"/>
    </font>
    <font>
      <b/>
      <sz val="8"/>
      <name val="Arial"/>
      <family val="0"/>
    </font>
    <font>
      <i/>
      <sz val="14"/>
      <name val="Arial"/>
      <family val="0"/>
    </font>
    <font>
      <sz val="8"/>
      <name val="Tahoma"/>
      <family val="0"/>
    </font>
    <font>
      <sz val="9"/>
      <name val="Tahoma"/>
      <family val="0"/>
    </font>
    <font>
      <b/>
      <sz val="9"/>
      <name val="Tahoma"/>
      <family val="0"/>
    </font>
    <font>
      <sz val="11"/>
      <name val="Arial"/>
      <family val="0"/>
    </font>
    <font>
      <sz val="9"/>
      <name val="Arial"/>
      <family val="0"/>
    </font>
    <font>
      <b/>
      <sz val="8"/>
      <color rgb="FF00B050"/>
      <name val="Arial"/>
      <family val="0"/>
    </font>
    <font>
      <sz val="1"/>
      <color theme="0"/>
      <name val="Arial"/>
      <family val="0"/>
    </font>
    <font>
      <b/>
      <sz val="11"/>
      <color theme="0"/>
      <name val="Arial"/>
      <family val="0"/>
    </font>
    <font>
      <sz val="11"/>
      <color theme="1"/>
      <name val="Arial"/>
      <family val="0"/>
    </font>
    <font>
      <b/>
      <sz val="11"/>
      <color theme="1"/>
      <name val="Arial"/>
      <family val="0"/>
    </font>
    <font>
      <i/>
      <sz val="11"/>
      <color theme="1"/>
      <name val="Arial"/>
      <family val="0"/>
    </font>
    <font>
      <sz val="8"/>
      <color theme="1"/>
      <name val="Arial"/>
      <family val="0"/>
    </font>
    <font>
      <b/>
      <sz val="9"/>
      <color theme="1"/>
      <name val="Arial Narrow"/>
      <family val="0"/>
    </font>
    <font>
      <sz val="10"/>
      <color theme="1"/>
      <name val="Arial"/>
      <family val="0"/>
    </font>
    <font>
      <sz val="9"/>
      <color theme="1"/>
      <name val="Arial"/>
      <family val="0"/>
    </font>
    <font>
      <b/>
      <sz val="8"/>
      <color theme="0"/>
      <name val="Arial"/>
      <family val="0"/>
    </font>
    <font>
      <b/>
      <sz val="11"/>
      <color rgb="FFC00000"/>
      <name val="Arial"/>
      <family val="0"/>
    </font>
    <font>
      <i/>
      <sz val="11"/>
      <color theme="0"/>
      <name val="Arial"/>
      <family val="0"/>
    </font>
    <font>
      <sz val="11"/>
      <color theme="0"/>
      <name val="Arial"/>
      <family val="0"/>
    </font>
    <font>
      <b/>
      <sz val="14"/>
      <color theme="0"/>
      <name val="Arial"/>
      <family val="0"/>
    </font>
    <font>
      <b/>
      <sz val="10"/>
      <color theme="0"/>
      <name val="Arial"/>
      <family val="0"/>
    </font>
    <font>
      <sz val="8"/>
      <color theme="0"/>
      <name val="Arial"/>
      <family val="0"/>
    </font>
    <font>
      <b/>
      <sz val="8"/>
      <color theme="1"/>
      <name val="Arial"/>
      <family val="0"/>
    </font>
    <font>
      <b/>
      <sz val="10"/>
      <color theme="3"/>
      <name val="Arial"/>
      <family val="0"/>
    </font>
  </fonts>
  <fills count="13">
    <fill>
      <patternFill/>
    </fill>
    <fill>
      <patternFill patternType="gray125"/>
    </fill>
    <fill>
      <patternFill patternType="solid">
        <fgColor indexed="47"/>
        <bgColor indexed="64"/>
      </patternFill>
    </fill>
    <fill>
      <patternFill patternType="solid">
        <fgColor indexed="43"/>
        <bgColor indexed="64"/>
      </patternFill>
    </fill>
    <fill>
      <patternFill patternType="solid">
        <fgColor rgb="FFC00000"/>
        <bgColor indexed="64"/>
      </patternFill>
    </fill>
    <fill>
      <patternFill patternType="solid">
        <fgColor theme="2" tint="-0.249970003962517"/>
        <bgColor indexed="64"/>
      </patternFill>
    </fill>
    <fill>
      <patternFill patternType="solid">
        <fgColor theme="5" tint="0.399980008602142"/>
        <bgColor indexed="64"/>
      </patternFill>
    </fill>
    <fill>
      <patternFill patternType="solid">
        <fgColor rgb="FFFFFF00"/>
        <bgColor indexed="64"/>
      </patternFill>
    </fill>
    <fill>
      <patternFill patternType="solid">
        <fgColor theme="5" tint="0.599990010261536"/>
        <bgColor indexed="64"/>
      </patternFill>
    </fill>
    <fill>
      <patternFill patternType="solid">
        <fgColor theme="6" tint="0.399980008602142"/>
        <bgColor indexed="64"/>
      </patternFill>
    </fill>
    <fill>
      <patternFill patternType="solid">
        <fgColor theme="0" tint="-0.149990007281303"/>
        <bgColor indexed="64"/>
      </patternFill>
    </fill>
    <fill>
      <patternFill patternType="solid">
        <fgColor indexed="44"/>
        <bgColor indexed="64"/>
      </patternFill>
    </fill>
    <fill>
      <patternFill patternType="solid">
        <fgColor indexed="8"/>
        <bgColor indexed="64"/>
      </patternFill>
    </fill>
  </fills>
  <borders count="32">
    <border>
      <left/>
      <right/>
      <top/>
      <bottom/>
      <diagonal/>
    </border>
    <border>
      <left style="thin"/>
      <right/>
      <top/>
      <bottom/>
    </border>
    <border>
      <left style="thin"/>
      <right/>
      <top/>
      <bottom style="thin"/>
    </border>
    <border>
      <left style="thin"/>
      <right/>
      <top style="thin"/>
      <bottom/>
    </border>
    <border>
      <left style="thin"/>
      <right/>
      <top style="thin"/>
      <bottom style="thin"/>
    </border>
    <border>
      <left/>
      <right style="thin">
        <color theme="0"/>
      </right>
      <top style="thin">
        <color theme="0"/>
      </top>
      <bottom style="thin">
        <color theme="0"/>
      </bottom>
    </border>
    <border>
      <left style="medium"/>
      <right/>
      <top style="medium"/>
      <bottom/>
    </border>
    <border>
      <left/>
      <right/>
      <top style="medium"/>
      <bottom/>
    </border>
    <border>
      <left/>
      <right style="medium"/>
      <top style="medium"/>
      <bottom/>
    </border>
    <border>
      <left style="medium"/>
      <right/>
      <top/>
      <bottom/>
    </border>
    <border>
      <left/>
      <right style="medium"/>
      <top/>
      <bottom/>
    </border>
    <border>
      <left/>
      <right/>
      <top/>
      <bottom style="thin"/>
    </border>
    <border>
      <left/>
      <right style="thin"/>
      <top/>
      <bottom style="thin"/>
    </border>
    <border>
      <left/>
      <right style="thin"/>
      <top/>
      <bottom/>
    </border>
    <border>
      <left style="medium"/>
      <right/>
      <top/>
      <bottom style="medium"/>
    </border>
    <border>
      <left/>
      <right/>
      <top/>
      <bottom style="medium"/>
    </border>
    <border>
      <left/>
      <right style="medium"/>
      <top/>
      <bottom style="medium"/>
    </border>
    <border>
      <left/>
      <right/>
      <top style="thin"/>
      <bottom/>
    </border>
    <border>
      <left style="thin">
        <color rgb="FFC00000"/>
      </left>
      <right style="thin">
        <color rgb="FFC00000"/>
      </right>
      <top style="thin">
        <color rgb="FFC00000"/>
      </top>
      <bottom style="thin">
        <color rgb="FFC00000"/>
      </bottom>
    </border>
    <border>
      <left/>
      <right/>
      <top style="thin">
        <color theme="0"/>
      </top>
      <bottom/>
    </border>
    <border>
      <left/>
      <right style="thin">
        <color theme="0"/>
      </right>
      <top style="thin">
        <color theme="0"/>
      </top>
      <bottom/>
    </border>
    <border>
      <left/>
      <right style="thin">
        <color theme="0"/>
      </right>
      <top/>
      <bottom/>
    </border>
    <border>
      <left/>
      <right style="thin">
        <color theme="0"/>
      </right>
      <top/>
      <bottom style="thin">
        <color theme="0"/>
      </bottom>
    </border>
    <border>
      <left/>
      <right style="thin"/>
      <top style="thin"/>
      <bottom/>
    </border>
    <border>
      <left/>
      <right/>
      <top style="thin"/>
      <bottom style="thin"/>
    </border>
    <border>
      <left/>
      <right style="thin"/>
      <top style="thin"/>
      <bottom style="thin"/>
    </border>
    <border>
      <left style="thin">
        <color theme="0"/>
      </left>
      <right/>
      <top style="thin">
        <color theme="0"/>
      </top>
      <bottom/>
    </border>
    <border>
      <left style="thin">
        <color theme="0"/>
      </left>
      <right/>
      <top/>
      <bottom/>
    </border>
    <border>
      <left style="thin">
        <color theme="0"/>
      </left>
      <right/>
      <top style="thin">
        <color theme="0"/>
      </top>
      <bottom style="thin">
        <color theme="0"/>
      </bottom>
    </border>
    <border>
      <left/>
      <right/>
      <top style="thin">
        <color theme="0"/>
      </top>
      <bottom style="thin">
        <color theme="0"/>
      </bottom>
    </border>
    <border>
      <left style="thin">
        <color theme="0"/>
      </left>
      <right/>
      <top/>
      <bottom style="thin">
        <color theme="0"/>
      </bottom>
    </border>
    <border>
      <left/>
      <right/>
      <top/>
      <bottom style="thin">
        <color theme="0"/>
      </bottom>
    </border>
  </borders>
  <cellStyleXfs count="21">
    <xf numFmtId="0" fontId="0" fillId="0" borderId="0">
      <alignment/>
      <protection/>
    </xf>
    <xf numFmtId="0" fontId="1" fillId="0" borderId="0" applyNumberFormat="1" applyFill="1" applyBorder="1" applyAlignment="1" applyProtection="1"/>
    <xf numFmtId="0" fontId="1" fillId="0" borderId="0" applyNumberFormat="1" applyFill="1" applyBorder="1" applyAlignment="1" applyProtection="1"/>
    <xf numFmtId="0" fontId="1" fillId="0" borderId="0" applyNumberFormat="1" applyFill="1" applyBorder="1" applyAlignment="1" applyProtection="1"/>
    <xf numFmtId="0" fontId="1" fillId="0" borderId="0" applyNumberFormat="1" applyFill="1" applyBorder="1" applyAlignment="1" applyProtection="1"/>
    <xf numFmtId="0" fontId="1" fillId="0" borderId="0" applyNumberFormat="1" applyFill="1" applyBorder="1" applyAlignment="1" applyProtection="1"/>
    <xf numFmtId="0" fontId="1" fillId="0" borderId="0" applyNumberFormat="1" applyFill="1" applyBorder="1" applyAlignment="1" applyProtection="1"/>
    <xf numFmtId="0" fontId="1" fillId="0" borderId="0" applyNumberFormat="1" applyFill="1" applyBorder="1" applyAlignment="1" applyProtection="1"/>
    <xf numFmtId="0" fontId="1" fillId="0" borderId="0" applyNumberFormat="1" applyFill="1" applyBorder="1" applyAlignment="1" applyProtection="1"/>
    <xf numFmtId="0" fontId="1" fillId="0" borderId="0" applyNumberFormat="1" applyFill="1" applyBorder="1" applyAlignment="1" applyProtection="1"/>
    <xf numFmtId="0" fontId="1" fillId="0" borderId="0" applyNumberFormat="1" applyFill="1" applyBorder="1" applyAlignment="1" applyProtection="1"/>
    <xf numFmtId="0" fontId="1" fillId="0" borderId="0" applyNumberFormat="1" applyFill="1" applyBorder="1" applyAlignment="1" applyProtection="1"/>
    <xf numFmtId="0" fontId="1" fillId="0" borderId="0" applyNumberFormat="1" applyFill="1" applyBorder="1" applyAlignment="1" applyProtection="1"/>
    <xf numFmtId="0" fontId="1" fillId="0" borderId="0" applyNumberFormat="1" applyFill="1" applyBorder="1" applyAlignment="1" applyProtection="1"/>
    <xf numFmtId="0" fontId="1" fillId="0" borderId="0" applyNumberFormat="1" applyFill="1" applyBorder="1" applyAlignment="1" applyProtection="1"/>
    <xf numFmtId="9" fontId="0" fillId="0" borderId="0">
      <alignment/>
      <protection/>
    </xf>
    <xf numFmtId="44" fontId="0" fillId="0" borderId="0">
      <alignment/>
      <protection/>
    </xf>
    <xf numFmtId="42" fontId="1" fillId="0" borderId="0" applyFont="1" applyFill="1" applyBorder="1" applyAlignment="1" applyProtection="1"/>
    <xf numFmtId="43" fontId="1" fillId="0" borderId="0" applyFont="1" applyFill="1" applyBorder="1" applyAlignment="1" applyProtection="1"/>
    <xf numFmtId="41" fontId="1" fillId="0" borderId="0" applyFont="1" applyFill="1" applyBorder="1" applyAlignment="1" applyProtection="1"/>
    <xf numFmtId="0" fontId="1" fillId="0" borderId="0">
      <alignment/>
      <protection/>
    </xf>
  </cellStyleXfs>
  <cellXfs count="206">
    <xf numFmtId="0" fontId="0" fillId="0" borderId="0" xfId="0"/>
    <xf numFmtId="0" fontId="2" fillId="0" borderId="0" xfId="0" applyFont="1"/>
    <xf numFmtId="9" fontId="14" fillId="0" borderId="0" xfId="0" applyNumberFormat="1" applyFont="1" applyFill="1" applyBorder="1" applyAlignment="1">
      <alignment horizontal="center" wrapText="1"/>
    </xf>
    <xf numFmtId="164" fontId="3" fillId="2" borderId="0" xfId="15" applyNumberFormat="1" applyFont="1" applyFill="1" applyBorder="1" applyAlignment="1">
      <alignment horizontal="center"/>
      <protection/>
    </xf>
    <xf numFmtId="164" fontId="3" fillId="0" borderId="0" xfId="15" applyNumberFormat="1" applyFont="1" applyFill="1" applyBorder="1" applyAlignment="1">
      <alignment horizontal="center"/>
      <protection/>
    </xf>
    <xf numFmtId="0" fontId="4" fillId="2" borderId="0" xfId="0" applyFont="1" applyFill="1" applyBorder="1" applyAlignment="1">
      <alignment horizontal="center" vertical="top" wrapText="1"/>
    </xf>
    <xf numFmtId="164" fontId="3" fillId="3" borderId="0" xfId="15" applyNumberFormat="1" applyFont="1" applyFill="1" applyBorder="1" applyAlignment="1">
      <alignment horizontal="center"/>
      <protection/>
    </xf>
    <xf numFmtId="0" fontId="4" fillId="3" borderId="0" xfId="0" applyFont="1" applyFill="1" applyBorder="1" applyAlignment="1">
      <alignment horizontal="center" vertical="top" wrapText="1"/>
    </xf>
    <xf numFmtId="0" fontId="4" fillId="2" borderId="1" xfId="0" applyFont="1" applyFill="1" applyBorder="1" applyAlignment="1">
      <alignment horizontal="center" vertical="top" wrapText="1"/>
    </xf>
    <xf numFmtId="0" fontId="4" fillId="3" borderId="1" xfId="0" applyFont="1" applyFill="1" applyBorder="1" applyAlignment="1">
      <alignment horizontal="center" vertical="top" wrapText="1"/>
    </xf>
    <xf numFmtId="164" fontId="7" fillId="0" borderId="0" xfId="0" applyNumberFormat="1" applyFont="1" applyFill="1" applyBorder="1" applyAlignment="1">
      <alignment horizontal="center" wrapText="1"/>
    </xf>
    <xf numFmtId="164" fontId="7" fillId="0" borderId="2" xfId="0" applyNumberFormat="1" applyFont="1" applyFill="1" applyBorder="1" applyAlignment="1">
      <alignment horizontal="center" wrapText="1"/>
    </xf>
    <xf numFmtId="164" fontId="7" fillId="0" borderId="3" xfId="0" applyNumberFormat="1" applyFont="1" applyFill="1" applyBorder="1" applyAlignment="1">
      <alignment horizontal="center" wrapText="1"/>
    </xf>
    <xf numFmtId="164" fontId="15" fillId="0" borderId="4" xfId="0" applyNumberFormat="1" applyFont="1" applyFill="1" applyBorder="1" applyAlignment="1">
      <alignment horizontal="center" wrapText="1"/>
    </xf>
    <xf numFmtId="164" fontId="15" fillId="0" borderId="2" xfId="0" applyNumberFormat="1" applyFont="1" applyFill="1" applyBorder="1" applyAlignment="1">
      <alignment horizontal="center" wrapText="1"/>
    </xf>
    <xf numFmtId="0" fontId="16" fillId="4" borderId="5" xfId="0" applyFont="1" applyFill="1" applyBorder="1" applyAlignment="1">
      <alignment horizontal="center" vertical="center"/>
    </xf>
    <xf numFmtId="0" fontId="4" fillId="0" borderId="0" xfId="0" applyFont="1" applyFill="1" applyBorder="1" applyAlignment="1">
      <alignment horizontal="center" vertical="center" wrapText="1"/>
    </xf>
    <xf numFmtId="164" fontId="7" fillId="0" borderId="0" xfId="15" applyNumberFormat="1" applyFont="1" applyFill="1" applyAlignment="1">
      <alignment horizontal="center" vertical="center" wrapText="1"/>
      <protection/>
    </xf>
    <xf numFmtId="164" fontId="7" fillId="0" borderId="0" xfId="15" applyNumberFormat="1" applyFont="1" applyFill="1" applyBorder="1" applyAlignment="1">
      <alignment horizontal="center" vertical="center" wrapText="1"/>
      <protection/>
    </xf>
    <xf numFmtId="0" fontId="17" fillId="0" borderId="0" xfId="0" applyFont="1"/>
    <xf numFmtId="0" fontId="18" fillId="5" borderId="0" xfId="0" applyFont="1" applyFill="1"/>
    <xf numFmtId="0" fontId="17" fillId="0" borderId="0" xfId="0" applyFont="1" applyBorder="1"/>
    <xf numFmtId="0" fontId="17" fillId="0" borderId="6" xfId="0" applyFont="1" applyBorder="1"/>
    <xf numFmtId="0" fontId="17" fillId="0" borderId="7" xfId="0" applyFont="1" applyBorder="1"/>
    <xf numFmtId="0" fontId="17" fillId="0" borderId="8" xfId="0" applyFont="1" applyBorder="1"/>
    <xf numFmtId="0" fontId="17" fillId="0" borderId="9" xfId="0" applyFont="1" applyBorder="1"/>
    <xf numFmtId="0" fontId="17" fillId="0" borderId="10" xfId="0" applyFont="1" applyBorder="1"/>
    <xf numFmtId="0" fontId="17" fillId="0" borderId="11" xfId="0" applyFont="1" applyBorder="1"/>
    <xf numFmtId="0" fontId="17" fillId="0" borderId="12" xfId="0" applyFont="1" applyBorder="1"/>
    <xf numFmtId="0" fontId="17" fillId="0" borderId="13" xfId="0" applyFont="1" applyBorder="1"/>
    <xf numFmtId="0" fontId="17" fillId="0" borderId="1" xfId="0" applyFont="1" applyBorder="1"/>
    <xf numFmtId="0" fontId="17" fillId="0" borderId="2" xfId="0" applyFont="1" applyBorder="1"/>
    <xf numFmtId="0" fontId="17" fillId="0" borderId="3" xfId="0" applyFont="1" applyBorder="1"/>
    <xf numFmtId="0" fontId="17" fillId="0" borderId="11" xfId="0" applyFont="1" applyBorder="1"/>
    <xf numFmtId="0" fontId="17" fillId="2" borderId="0" xfId="0" applyFont="1" applyFill="1" applyBorder="1"/>
    <xf numFmtId="0" fontId="17" fillId="2" borderId="2" xfId="0" applyFont="1" applyFill="1" applyBorder="1"/>
    <xf numFmtId="0" fontId="17" fillId="2" borderId="0" xfId="0" applyFont="1" applyFill="1"/>
    <xf numFmtId="0" fontId="17" fillId="0" borderId="0" xfId="0" applyFont="1"/>
    <xf numFmtId="0" fontId="17" fillId="2" borderId="0" xfId="0" applyFont="1" applyFill="1" applyBorder="1" applyAlignment="1">
      <alignment horizontal="center" wrapText="1"/>
    </xf>
    <xf numFmtId="0" fontId="17" fillId="0" borderId="0" xfId="0" applyFont="1" applyFill="1" applyBorder="1" applyAlignment="1">
      <alignment horizontal="center" wrapText="1"/>
    </xf>
    <xf numFmtId="0" fontId="17" fillId="0" borderId="0" xfId="0" applyFont="1" applyFill="1" applyBorder="1"/>
    <xf numFmtId="0" fontId="17" fillId="0" borderId="9" xfId="0" applyFont="1" applyFill="1" applyBorder="1"/>
    <xf numFmtId="0" fontId="17" fillId="0" borderId="10" xfId="0" applyFont="1" applyFill="1" applyBorder="1"/>
    <xf numFmtId="0" fontId="17" fillId="0" borderId="0" xfId="0" applyFont="1" applyFill="1"/>
    <xf numFmtId="0" fontId="17" fillId="0" borderId="11" xfId="0" applyFont="1" applyFill="1" applyBorder="1"/>
    <xf numFmtId="0" fontId="17" fillId="0" borderId="11" xfId="0" applyFont="1" applyFill="1" applyBorder="1" applyAlignment="1">
      <alignment horizontal="center" wrapText="1"/>
    </xf>
    <xf numFmtId="0" fontId="17" fillId="0" borderId="2" xfId="0" applyFont="1" applyFill="1" applyBorder="1" applyAlignment="1">
      <alignment horizontal="center" wrapText="1"/>
    </xf>
    <xf numFmtId="0" fontId="17" fillId="0" borderId="4" xfId="0" applyFont="1" applyFill="1" applyBorder="1"/>
    <xf numFmtId="0" fontId="17" fillId="0" borderId="2" xfId="0" applyFont="1" applyFill="1" applyBorder="1"/>
    <xf numFmtId="0" fontId="17" fillId="0" borderId="1" xfId="0" applyFont="1" applyFill="1" applyBorder="1" applyAlignment="1">
      <alignment horizontal="center" wrapText="1"/>
    </xf>
    <xf numFmtId="0" fontId="17" fillId="0" borderId="0" xfId="0" applyFont="1" applyFill="1" applyBorder="1" applyAlignment="1">
      <alignment wrapText="1"/>
    </xf>
    <xf numFmtId="0" fontId="17" fillId="0" borderId="1" xfId="0" applyFont="1" applyFill="1" applyBorder="1" applyAlignment="1">
      <alignment wrapText="1"/>
    </xf>
    <xf numFmtId="0" fontId="17" fillId="3" borderId="0" xfId="0" applyFont="1" applyFill="1" applyBorder="1"/>
    <xf numFmtId="0" fontId="17" fillId="3" borderId="0" xfId="0" applyFont="1" applyFill="1" applyBorder="1" applyAlignment="1">
      <alignment horizontal="center" wrapText="1"/>
    </xf>
    <xf numFmtId="0" fontId="17" fillId="3" borderId="1" xfId="0" applyFont="1" applyFill="1" applyBorder="1" applyAlignment="1">
      <alignment horizontal="center" wrapText="1"/>
    </xf>
    <xf numFmtId="0" fontId="17" fillId="3" borderId="1" xfId="0" applyFont="1" applyFill="1" applyBorder="1"/>
    <xf numFmtId="0" fontId="17" fillId="3" borderId="0" xfId="0" applyFont="1" applyFill="1" applyBorder="1" applyAlignment="1">
      <alignment wrapText="1"/>
    </xf>
    <xf numFmtId="0" fontId="17" fillId="3" borderId="1" xfId="0" applyFont="1" applyFill="1" applyBorder="1" applyAlignment="1">
      <alignment wrapText="1"/>
    </xf>
    <xf numFmtId="0" fontId="17" fillId="3" borderId="0" xfId="0" applyFont="1" applyFill="1"/>
    <xf numFmtId="0" fontId="17" fillId="0" borderId="1" xfId="0" applyFont="1" applyBorder="1"/>
    <xf numFmtId="0" fontId="17" fillId="0" borderId="1" xfId="0" applyFont="1" applyFill="1" applyBorder="1"/>
    <xf numFmtId="0" fontId="4" fillId="0" borderId="0" xfId="0" applyFont="1" applyFill="1" applyAlignment="1">
      <alignment horizontal="center" vertical="center"/>
    </xf>
    <xf numFmtId="0" fontId="17" fillId="0" borderId="14" xfId="0" applyFont="1" applyBorder="1"/>
    <xf numFmtId="0" fontId="17" fillId="0" borderId="15" xfId="0" applyFont="1" applyBorder="1"/>
    <xf numFmtId="0" fontId="17" fillId="0" borderId="16" xfId="0" applyFont="1" applyBorder="1"/>
    <xf numFmtId="0" fontId="17" fillId="5" borderId="0" xfId="0" applyFont="1" applyFill="1"/>
    <xf numFmtId="0" fontId="17" fillId="6" borderId="0" xfId="0" applyFont="1" applyFill="1"/>
    <xf numFmtId="0" fontId="17" fillId="5" borderId="0" xfId="0" applyFont="1" applyFill="1" applyAlignment="1">
      <alignment wrapText="1"/>
    </xf>
    <xf numFmtId="0" fontId="18" fillId="5" borderId="0" xfId="0" applyFont="1" applyFill="1" applyAlignment="1">
      <alignment wrapText="1"/>
    </xf>
    <xf numFmtId="0" fontId="18" fillId="0" borderId="0" xfId="0" applyFont="1"/>
    <xf numFmtId="166" fontId="19" fillId="5" borderId="0" xfId="0" applyNumberFormat="1" applyFont="1" applyFill="1" applyAlignment="1">
      <alignment/>
    </xf>
    <xf numFmtId="165" fontId="18" fillId="5" borderId="0" xfId="0" applyNumberFormat="1" applyFont="1" applyFill="1" applyAlignment="1">
      <alignment wrapText="1"/>
    </xf>
    <xf numFmtId="165" fontId="17" fillId="6" borderId="0" xfId="0" applyNumberFormat="1" applyFont="1" applyFill="1"/>
    <xf numFmtId="165" fontId="17" fillId="5" borderId="0" xfId="0" applyNumberFormat="1" applyFont="1" applyFill="1"/>
    <xf numFmtId="167" fontId="17" fillId="5" borderId="0" xfId="0" applyNumberFormat="1" applyFont="1" applyFill="1"/>
    <xf numFmtId="166" fontId="17" fillId="5" borderId="0" xfId="0" applyNumberFormat="1" applyFont="1" applyFill="1"/>
    <xf numFmtId="0" fontId="17" fillId="5" borderId="0" xfId="0" applyNumberFormat="1" applyFont="1" applyFill="1"/>
    <xf numFmtId="2" fontId="17" fillId="0" borderId="0" xfId="0" applyNumberFormat="1" applyFont="1"/>
    <xf numFmtId="0" fontId="20" fillId="0" borderId="0" xfId="0" applyFont="1"/>
    <xf numFmtId="0" fontId="21" fillId="0" borderId="0" xfId="0" applyFont="1"/>
    <xf numFmtId="0" fontId="17" fillId="0" borderId="17" xfId="0" applyFont="1" applyBorder="1"/>
    <xf numFmtId="164" fontId="7" fillId="0" borderId="11" xfId="0" applyNumberFormat="1" applyFont="1" applyFill="1" applyBorder="1" applyAlignment="1">
      <alignment horizontal="center" wrapText="1"/>
    </xf>
    <xf numFmtId="0" fontId="12" fillId="0" borderId="0" xfId="0" applyFont="1"/>
    <xf numFmtId="0" fontId="22" fillId="0" borderId="0" xfId="0" applyFont="1"/>
    <xf numFmtId="168" fontId="17" fillId="0" borderId="0" xfId="16" applyNumberFormat="1" applyFont="1" applyFill="1">
      <alignment/>
      <protection/>
    </xf>
    <xf numFmtId="0" fontId="23" fillId="5" borderId="0" xfId="0" applyFont="1" applyFill="1" applyAlignment="1">
      <alignment wrapText="1"/>
    </xf>
    <xf numFmtId="165" fontId="7" fillId="0" borderId="0" xfId="0" applyNumberFormat="1" applyFont="1" applyFill="1" applyBorder="1" applyAlignment="1">
      <alignment horizontal="center" vertical="center" wrapText="1"/>
    </xf>
    <xf numFmtId="165" fontId="4" fillId="0" borderId="0" xfId="0" applyNumberFormat="1" applyFont="1" applyFill="1" applyBorder="1" applyAlignment="1">
      <alignment horizontal="center" vertical="center" wrapText="1"/>
    </xf>
    <xf numFmtId="164" fontId="24" fillId="0" borderId="0" xfId="15" applyNumberFormat="1" applyFont="1" applyFill="1" applyBorder="1" applyAlignment="1">
      <alignment horizontal="center" vertical="center" wrapText="1"/>
      <protection/>
    </xf>
    <xf numFmtId="0" fontId="17" fillId="0" borderId="0" xfId="0" applyFont="1"/>
    <xf numFmtId="0" fontId="17" fillId="0" borderId="0" xfId="0" applyFont="1"/>
    <xf numFmtId="0" fontId="25" fillId="0" borderId="18" xfId="0" applyFont="1" applyBorder="1"/>
    <xf numFmtId="0" fontId="17" fillId="0" borderId="0" xfId="0" applyFont="1"/>
    <xf numFmtId="0" fontId="18" fillId="0" borderId="0" xfId="0" applyFont="1" applyFill="1"/>
    <xf numFmtId="0" fontId="16" fillId="0" borderId="0" xfId="0" applyFont="1" applyFill="1" applyBorder="1" applyAlignment="1">
      <alignment horizontal="center"/>
    </xf>
    <xf numFmtId="0" fontId="16" fillId="0" borderId="0" xfId="0" applyFont="1" applyFill="1" applyBorder="1" applyAlignment="1">
      <alignment horizontal="center" vertical="center"/>
    </xf>
    <xf numFmtId="0" fontId="16" fillId="0" borderId="0" xfId="0" applyFont="1" applyFill="1" applyBorder="1" applyAlignment="1">
      <alignment horizontal="left" vertical="center"/>
    </xf>
    <xf numFmtId="0" fontId="26" fillId="0" borderId="0" xfId="0" applyFont="1" applyFill="1" applyBorder="1" applyAlignment="1">
      <alignment horizontal="center" vertical="center" wrapText="1"/>
    </xf>
    <xf numFmtId="0" fontId="27" fillId="0" borderId="19" xfId="0" applyFont="1" applyFill="1" applyBorder="1" applyAlignment="1">
      <alignment vertical="center"/>
    </xf>
    <xf numFmtId="0" fontId="27" fillId="0" borderId="0" xfId="0" applyFont="1" applyFill="1" applyBorder="1" applyAlignment="1">
      <alignment vertical="center"/>
    </xf>
    <xf numFmtId="0" fontId="12" fillId="3" borderId="0" xfId="0" applyFont="1" applyFill="1" applyBorder="1" applyAlignment="1">
      <alignment wrapText="1"/>
    </xf>
    <xf numFmtId="0" fontId="13" fillId="3" borderId="0" xfId="0" applyFont="1" applyFill="1" applyBorder="1" applyAlignment="1">
      <alignment wrapText="1"/>
    </xf>
    <xf numFmtId="0" fontId="4" fillId="3" borderId="0" xfId="0" applyFont="1" applyFill="1" applyBorder="1" applyAlignment="1">
      <alignment wrapText="1"/>
    </xf>
    <xf numFmtId="169" fontId="17" fillId="0" borderId="0" xfId="0" applyNumberFormat="1" applyFont="1" applyFill="1"/>
    <xf numFmtId="169" fontId="17" fillId="0" borderId="0" xfId="16" applyNumberFormat="1" applyFont="1" applyFill="1">
      <alignment/>
      <protection/>
    </xf>
    <xf numFmtId="0" fontId="12" fillId="3" borderId="0" xfId="0" applyFont="1" applyFill="1" applyBorder="1"/>
    <xf numFmtId="0" fontId="12" fillId="3" borderId="0" xfId="15" applyNumberFormat="1" applyFont="1" applyFill="1" applyBorder="1">
      <alignment/>
      <protection/>
    </xf>
    <xf numFmtId="0" fontId="17" fillId="0" borderId="11" xfId="0" applyFont="1" applyBorder="1"/>
    <xf numFmtId="0" fontId="17" fillId="0" borderId="12" xfId="0" applyFont="1" applyBorder="1"/>
    <xf numFmtId="0" fontId="17" fillId="0" borderId="0" xfId="0" applyFont="1"/>
    <xf numFmtId="0" fontId="17" fillId="0" borderId="1" xfId="0" applyFont="1" applyBorder="1"/>
    <xf numFmtId="169" fontId="17" fillId="0" borderId="0" xfId="0" applyNumberFormat="1" applyFont="1" applyFill="1" applyAlignment="1">
      <alignment wrapText="1"/>
    </xf>
    <xf numFmtId="0" fontId="17" fillId="0" borderId="0" xfId="0" applyFont="1"/>
    <xf numFmtId="0" fontId="17" fillId="0" borderId="0" xfId="0" applyFont="1"/>
    <xf numFmtId="165" fontId="17" fillId="7" borderId="0" xfId="0" applyNumberFormat="1" applyFont="1" applyFill="1"/>
    <xf numFmtId="0" fontId="18" fillId="0" borderId="0" xfId="0" applyFont="1" applyAlignment="1">
      <alignment horizontal="center"/>
    </xf>
    <xf numFmtId="0" fontId="26" fillId="4" borderId="20" xfId="0" applyFont="1" applyFill="1" applyBorder="1" applyAlignment="1">
      <alignment horizontal="center" vertical="center" wrapText="1"/>
    </xf>
    <xf numFmtId="0" fontId="26" fillId="4" borderId="21" xfId="0" applyFont="1" applyFill="1" applyBorder="1" applyAlignment="1">
      <alignment horizontal="center" vertical="center" wrapText="1"/>
    </xf>
    <xf numFmtId="0" fontId="26" fillId="4" borderId="22" xfId="0" applyFont="1" applyFill="1" applyBorder="1" applyAlignment="1">
      <alignment horizontal="center" vertical="center" wrapText="1"/>
    </xf>
    <xf numFmtId="164" fontId="4" fillId="8" borderId="1" xfId="15" applyNumberFormat="1" applyFont="1" applyFill="1" applyBorder="1" applyAlignment="1">
      <alignment horizontal="center" vertical="top" wrapText="1"/>
      <protection/>
    </xf>
    <xf numFmtId="164" fontId="4" fillId="8" borderId="0" xfId="15" applyNumberFormat="1" applyFont="1" applyFill="1" applyBorder="1" applyAlignment="1">
      <alignment horizontal="center" vertical="top" wrapText="1"/>
      <protection/>
    </xf>
    <xf numFmtId="164" fontId="4" fillId="8" borderId="13" xfId="15" applyNumberFormat="1" applyFont="1" applyFill="1" applyBorder="1" applyAlignment="1">
      <alignment horizontal="center" vertical="top" wrapText="1"/>
      <protection/>
    </xf>
    <xf numFmtId="164" fontId="4" fillId="8" borderId="2" xfId="15" applyNumberFormat="1" applyFont="1" applyFill="1" applyBorder="1" applyAlignment="1">
      <alignment horizontal="center" vertical="top" wrapText="1"/>
      <protection/>
    </xf>
    <xf numFmtId="164" fontId="4" fillId="8" borderId="11" xfId="15" applyNumberFormat="1" applyFont="1" applyFill="1" applyBorder="1" applyAlignment="1">
      <alignment horizontal="center" vertical="top" wrapText="1"/>
      <protection/>
    </xf>
    <xf numFmtId="164" fontId="4" fillId="8" borderId="12" xfId="15" applyNumberFormat="1" applyFont="1" applyFill="1" applyBorder="1" applyAlignment="1">
      <alignment horizontal="center" vertical="top" wrapText="1"/>
      <protection/>
    </xf>
    <xf numFmtId="0" fontId="4" fillId="9" borderId="1" xfId="0" applyFont="1" applyFill="1" applyBorder="1" applyAlignment="1">
      <alignment horizontal="center" vertical="top" wrapText="1"/>
    </xf>
    <xf numFmtId="0" fontId="4" fillId="9" borderId="0" xfId="0" applyFont="1" applyFill="1" applyBorder="1" applyAlignment="1">
      <alignment horizontal="center" vertical="top" wrapText="1"/>
    </xf>
    <xf numFmtId="0" fontId="4" fillId="9" borderId="13" xfId="0" applyFont="1" applyFill="1" applyBorder="1" applyAlignment="1">
      <alignment horizontal="center" vertical="top" wrapText="1"/>
    </xf>
    <xf numFmtId="0" fontId="4" fillId="9" borderId="2" xfId="0" applyFont="1" applyFill="1" applyBorder="1" applyAlignment="1">
      <alignment horizontal="center" vertical="top" wrapText="1"/>
    </xf>
    <xf numFmtId="0" fontId="4" fillId="9" borderId="11" xfId="0" applyFont="1" applyFill="1" applyBorder="1" applyAlignment="1">
      <alignment horizontal="center" vertical="top" wrapText="1"/>
    </xf>
    <xf numFmtId="0" fontId="4" fillId="9" borderId="12" xfId="0" applyFont="1" applyFill="1" applyBorder="1" applyAlignment="1">
      <alignment horizontal="center" vertical="top" wrapText="1"/>
    </xf>
    <xf numFmtId="0" fontId="4" fillId="8" borderId="1" xfId="0" applyFont="1" applyFill="1" applyBorder="1" applyAlignment="1">
      <alignment horizontal="center" vertical="top" wrapText="1"/>
    </xf>
    <xf numFmtId="0" fontId="4" fillId="8" borderId="0" xfId="0" applyFont="1" applyFill="1" applyBorder="1" applyAlignment="1">
      <alignment horizontal="center" vertical="top" wrapText="1"/>
    </xf>
    <xf numFmtId="0" fontId="4" fillId="8" borderId="13" xfId="0" applyFont="1" applyFill="1" applyBorder="1" applyAlignment="1">
      <alignment horizontal="center" vertical="top" wrapText="1"/>
    </xf>
    <xf numFmtId="0" fontId="4" fillId="8" borderId="2" xfId="0" applyFont="1" applyFill="1" applyBorder="1" applyAlignment="1">
      <alignment horizontal="center" vertical="top" wrapText="1"/>
    </xf>
    <xf numFmtId="0" fontId="4" fillId="8" borderId="11" xfId="0" applyFont="1" applyFill="1" applyBorder="1" applyAlignment="1">
      <alignment horizontal="center" vertical="top" wrapText="1"/>
    </xf>
    <xf numFmtId="0" fontId="4" fillId="8" borderId="12" xfId="0" applyFont="1" applyFill="1" applyBorder="1" applyAlignment="1">
      <alignment horizontal="center" vertical="top" wrapText="1"/>
    </xf>
    <xf numFmtId="164" fontId="3" fillId="10" borderId="3" xfId="15" applyNumberFormat="1" applyFont="1" applyFill="1" applyBorder="1" applyAlignment="1">
      <alignment horizontal="center"/>
      <protection/>
    </xf>
    <xf numFmtId="164" fontId="3" fillId="10" borderId="17" xfId="15" applyNumberFormat="1" applyFont="1" applyFill="1" applyBorder="1" applyAlignment="1">
      <alignment horizontal="center"/>
      <protection/>
    </xf>
    <xf numFmtId="164" fontId="3" fillId="10" borderId="23" xfId="15" applyNumberFormat="1" applyFont="1" applyFill="1" applyBorder="1" applyAlignment="1">
      <alignment horizontal="center"/>
      <protection/>
    </xf>
    <xf numFmtId="0" fontId="4" fillId="0" borderId="0" xfId="0" applyFont="1" applyFill="1" applyBorder="1" applyAlignment="1">
      <alignment horizontal="left" vertical="top" wrapText="1" shrinkToFit="1"/>
    </xf>
    <xf numFmtId="0" fontId="3" fillId="11" borderId="4" xfId="0" applyFont="1" applyFill="1" applyBorder="1" applyAlignment="1">
      <alignment horizontal="center"/>
    </xf>
    <xf numFmtId="0" fontId="3" fillId="11" borderId="24" xfId="0" applyFont="1" applyFill="1" applyBorder="1" applyAlignment="1">
      <alignment horizontal="center"/>
    </xf>
    <xf numFmtId="0" fontId="3" fillId="11" borderId="25" xfId="0" applyFont="1" applyFill="1" applyBorder="1" applyAlignment="1">
      <alignment horizontal="center"/>
    </xf>
    <xf numFmtId="0" fontId="3" fillId="10" borderId="4" xfId="0" applyFont="1" applyFill="1" applyBorder="1" applyAlignment="1">
      <alignment horizontal="center" wrapText="1"/>
    </xf>
    <xf numFmtId="0" fontId="3" fillId="10" borderId="24" xfId="0" applyFont="1" applyFill="1" applyBorder="1" applyAlignment="1">
      <alignment horizontal="center" wrapText="1"/>
    </xf>
    <xf numFmtId="0" fontId="3" fillId="10" borderId="25" xfId="0" applyFont="1" applyFill="1" applyBorder="1" applyAlignment="1">
      <alignment horizontal="center" wrapText="1"/>
    </xf>
    <xf numFmtId="164" fontId="3" fillId="9" borderId="3" xfId="15" applyNumberFormat="1" applyFont="1" applyFill="1" applyBorder="1" applyAlignment="1">
      <alignment horizontal="center"/>
      <protection/>
    </xf>
    <xf numFmtId="164" fontId="3" fillId="9" borderId="17" xfId="15" applyNumberFormat="1" applyFont="1" applyFill="1" applyBorder="1" applyAlignment="1">
      <alignment horizontal="center"/>
      <protection/>
    </xf>
    <xf numFmtId="164" fontId="3" fillId="9" borderId="23" xfId="15" applyNumberFormat="1" applyFont="1" applyFill="1" applyBorder="1" applyAlignment="1">
      <alignment horizontal="center"/>
      <protection/>
    </xf>
    <xf numFmtId="164" fontId="3" fillId="8" borderId="3" xfId="15" applyNumberFormat="1" applyFont="1" applyFill="1" applyBorder="1" applyAlignment="1">
      <alignment horizontal="center"/>
      <protection/>
    </xf>
    <xf numFmtId="164" fontId="3" fillId="8" borderId="17" xfId="15" applyNumberFormat="1" applyFont="1" applyFill="1" applyBorder="1" applyAlignment="1">
      <alignment horizontal="center"/>
      <protection/>
    </xf>
    <xf numFmtId="164" fontId="3" fillId="8" borderId="23" xfId="15" applyNumberFormat="1" applyFont="1" applyFill="1" applyBorder="1" applyAlignment="1">
      <alignment horizontal="center"/>
      <protection/>
    </xf>
    <xf numFmtId="0" fontId="5" fillId="3" borderId="0" xfId="0" applyFont="1" applyFill="1" applyBorder="1" applyAlignment="1">
      <alignment horizontal="right" vertical="center" wrapText="1"/>
    </xf>
    <xf numFmtId="0" fontId="17" fillId="0" borderId="0" xfId="0" applyFont="1"/>
    <xf numFmtId="0" fontId="17" fillId="0" borderId="1" xfId="0" applyFont="1" applyBorder="1"/>
    <xf numFmtId="0" fontId="31" fillId="2" borderId="0" xfId="0" applyFont="1" applyFill="1" applyBorder="1" applyAlignment="1">
      <alignment horizontal="center" vertical="top" wrapText="1"/>
    </xf>
    <xf numFmtId="0" fontId="31" fillId="2" borderId="13" xfId="0" applyFont="1" applyFill="1" applyBorder="1" applyAlignment="1">
      <alignment horizontal="center" vertical="top" wrapText="1"/>
    </xf>
    <xf numFmtId="6" fontId="32" fillId="2" borderId="0" xfId="0" applyNumberFormat="1" applyFont="1" applyFill="1" applyBorder="1" applyAlignment="1">
      <alignment horizontal="center" vertical="top" wrapText="1"/>
    </xf>
    <xf numFmtId="0" fontId="32" fillId="2" borderId="0" xfId="0" applyFont="1" applyFill="1" applyBorder="1" applyAlignment="1">
      <alignment horizontal="center" vertical="top" wrapText="1"/>
    </xf>
    <xf numFmtId="0" fontId="32" fillId="2" borderId="13" xfId="0" applyFont="1" applyFill="1" applyBorder="1" applyAlignment="1">
      <alignment horizontal="center" vertical="top" wrapText="1"/>
    </xf>
    <xf numFmtId="164" fontId="3" fillId="11" borderId="3" xfId="15" applyNumberFormat="1" applyFont="1" applyFill="1" applyBorder="1" applyAlignment="1">
      <alignment horizontal="center"/>
      <protection/>
    </xf>
    <xf numFmtId="164" fontId="3" fillId="11" borderId="17" xfId="15" applyNumberFormat="1" applyFont="1" applyFill="1" applyBorder="1" applyAlignment="1">
      <alignment horizontal="center"/>
      <protection/>
    </xf>
    <xf numFmtId="164" fontId="3" fillId="11" borderId="23" xfId="15" applyNumberFormat="1" applyFont="1" applyFill="1" applyBorder="1" applyAlignment="1">
      <alignment horizontal="center"/>
      <protection/>
    </xf>
    <xf numFmtId="164" fontId="4" fillId="9" borderId="1" xfId="15" applyNumberFormat="1" applyFont="1" applyFill="1" applyBorder="1" applyAlignment="1">
      <alignment horizontal="center" vertical="top" wrapText="1"/>
      <protection/>
    </xf>
    <xf numFmtId="164" fontId="4" fillId="9" borderId="0" xfId="15" applyNumberFormat="1" applyFont="1" applyFill="1" applyBorder="1" applyAlignment="1">
      <alignment horizontal="center" vertical="top" wrapText="1"/>
      <protection/>
    </xf>
    <xf numFmtId="164" fontId="4" fillId="9" borderId="13" xfId="15" applyNumberFormat="1" applyFont="1" applyFill="1" applyBorder="1" applyAlignment="1">
      <alignment horizontal="center" vertical="top" wrapText="1"/>
      <protection/>
    </xf>
    <xf numFmtId="164" fontId="4" fillId="9" borderId="2" xfId="15" applyNumberFormat="1" applyFont="1" applyFill="1" applyBorder="1" applyAlignment="1">
      <alignment horizontal="center" vertical="top" wrapText="1"/>
      <protection/>
    </xf>
    <xf numFmtId="164" fontId="4" fillId="9" borderId="11" xfId="15" applyNumberFormat="1" applyFont="1" applyFill="1" applyBorder="1" applyAlignment="1">
      <alignment horizontal="center" vertical="top" wrapText="1"/>
      <protection/>
    </xf>
    <xf numFmtId="164" fontId="4" fillId="9" borderId="12" xfId="15" applyNumberFormat="1" applyFont="1" applyFill="1" applyBorder="1" applyAlignment="1">
      <alignment horizontal="center" vertical="top" wrapText="1"/>
      <protection/>
    </xf>
    <xf numFmtId="0" fontId="4" fillId="10" borderId="2" xfId="0" applyFont="1" applyFill="1" applyBorder="1" applyAlignment="1">
      <alignment horizontal="center" vertical="top" wrapText="1"/>
    </xf>
    <xf numFmtId="0" fontId="4" fillId="10" borderId="11" xfId="0" applyFont="1" applyFill="1" applyBorder="1" applyAlignment="1">
      <alignment horizontal="center" vertical="top" wrapText="1"/>
    </xf>
    <xf numFmtId="0" fontId="4" fillId="10" borderId="12" xfId="0" applyFont="1" applyFill="1" applyBorder="1" applyAlignment="1">
      <alignment horizontal="center" vertical="top" wrapText="1"/>
    </xf>
    <xf numFmtId="0" fontId="28" fillId="4" borderId="26" xfId="0" applyFont="1" applyFill="1" applyBorder="1" applyAlignment="1">
      <alignment horizontal="center"/>
    </xf>
    <xf numFmtId="0" fontId="28" fillId="4" borderId="19" xfId="0" applyFont="1" applyFill="1" applyBorder="1" applyAlignment="1">
      <alignment horizontal="center"/>
    </xf>
    <xf numFmtId="0" fontId="28" fillId="4" borderId="20" xfId="0" applyFont="1" applyFill="1" applyBorder="1" applyAlignment="1">
      <alignment horizontal="center"/>
    </xf>
    <xf numFmtId="0" fontId="28" fillId="4" borderId="27" xfId="0" applyFont="1" applyFill="1" applyBorder="1" applyAlignment="1">
      <alignment horizontal="center"/>
    </xf>
    <xf numFmtId="0" fontId="28" fillId="4" borderId="0" xfId="0" applyFont="1" applyFill="1" applyBorder="1" applyAlignment="1">
      <alignment horizontal="center"/>
    </xf>
    <xf numFmtId="0" fontId="28" fillId="4" borderId="21" xfId="0" applyFont="1" applyFill="1" applyBorder="1" applyAlignment="1">
      <alignment horizontal="center"/>
    </xf>
    <xf numFmtId="0" fontId="16" fillId="4" borderId="28" xfId="0" applyFont="1" applyFill="1" applyBorder="1" applyAlignment="1">
      <alignment horizontal="left" vertical="center"/>
    </xf>
    <xf numFmtId="0" fontId="16" fillId="4" borderId="29" xfId="0" applyFont="1" applyFill="1" applyBorder="1" applyAlignment="1">
      <alignment horizontal="left" vertical="center"/>
    </xf>
    <xf numFmtId="0" fontId="16" fillId="4" borderId="5" xfId="0" applyFont="1" applyFill="1" applyBorder="1" applyAlignment="1">
      <alignment horizontal="left" vertical="center"/>
    </xf>
    <xf numFmtId="9" fontId="3" fillId="9" borderId="3" xfId="15" applyNumberFormat="1" applyFont="1" applyFill="1" applyBorder="1" applyAlignment="1">
      <alignment horizontal="center"/>
      <protection/>
    </xf>
    <xf numFmtId="9" fontId="3" fillId="9" borderId="17" xfId="15" applyNumberFormat="1" applyFont="1" applyFill="1" applyBorder="1" applyAlignment="1">
      <alignment horizontal="center"/>
      <protection/>
    </xf>
    <xf numFmtId="9" fontId="3" fillId="9" borderId="23" xfId="15" applyNumberFormat="1" applyFont="1" applyFill="1" applyBorder="1" applyAlignment="1">
      <alignment horizontal="center"/>
      <protection/>
    </xf>
    <xf numFmtId="3" fontId="29" fillId="12" borderId="3" xfId="0" applyNumberFormat="1" applyFont="1" applyFill="1" applyBorder="1" applyAlignment="1">
      <alignment horizontal="center"/>
    </xf>
    <xf numFmtId="3" fontId="29" fillId="12" borderId="17" xfId="0" applyNumberFormat="1" applyFont="1" applyFill="1" applyBorder="1" applyAlignment="1">
      <alignment horizontal="center"/>
    </xf>
    <xf numFmtId="3" fontId="29" fillId="12" borderId="23" xfId="0" applyNumberFormat="1" applyFont="1" applyFill="1" applyBorder="1" applyAlignment="1">
      <alignment horizontal="center"/>
    </xf>
    <xf numFmtId="0" fontId="16" fillId="4" borderId="27" xfId="0" applyFont="1" applyFill="1" applyBorder="1" applyAlignment="1">
      <alignment horizontal="center"/>
    </xf>
    <xf numFmtId="0" fontId="16" fillId="4" borderId="0" xfId="0" applyFont="1" applyFill="1" applyBorder="1" applyAlignment="1">
      <alignment horizontal="center"/>
    </xf>
    <xf numFmtId="0" fontId="16" fillId="4" borderId="21" xfId="0" applyFont="1" applyFill="1" applyBorder="1" applyAlignment="1">
      <alignment horizontal="center"/>
    </xf>
    <xf numFmtId="3" fontId="30" fillId="12" borderId="2" xfId="0" applyNumberFormat="1" applyFont="1" applyFill="1" applyBorder="1" applyAlignment="1">
      <alignment horizontal="center"/>
    </xf>
    <xf numFmtId="3" fontId="30" fillId="12" borderId="11" xfId="0" applyNumberFormat="1" applyFont="1" applyFill="1" applyBorder="1" applyAlignment="1">
      <alignment horizontal="center"/>
    </xf>
    <xf numFmtId="3" fontId="30" fillId="12" borderId="12" xfId="0" applyNumberFormat="1" applyFont="1" applyFill="1" applyBorder="1" applyAlignment="1">
      <alignment horizontal="center"/>
    </xf>
    <xf numFmtId="0" fontId="16" fillId="4" borderId="30" xfId="0" applyFont="1" applyFill="1" applyBorder="1" applyAlignment="1">
      <alignment horizontal="center"/>
    </xf>
    <xf numFmtId="0" fontId="16" fillId="4" borderId="31" xfId="0" applyFont="1" applyFill="1" applyBorder="1" applyAlignment="1">
      <alignment horizontal="center"/>
    </xf>
    <xf numFmtId="0" fontId="16" fillId="4" borderId="22" xfId="0" applyFont="1" applyFill="1" applyBorder="1" applyAlignment="1">
      <alignment horizontal="center"/>
    </xf>
    <xf numFmtId="0" fontId="4" fillId="11" borderId="2" xfId="0" applyFont="1" applyFill="1" applyBorder="1" applyAlignment="1">
      <alignment horizontal="center" vertical="top" wrapText="1"/>
    </xf>
    <xf numFmtId="0" fontId="4" fillId="11" borderId="11" xfId="0" applyFont="1" applyFill="1" applyBorder="1" applyAlignment="1">
      <alignment horizontal="center" vertical="top" wrapText="1"/>
    </xf>
    <xf numFmtId="0" fontId="4" fillId="11" borderId="12" xfId="0" applyFont="1" applyFill="1" applyBorder="1" applyAlignment="1">
      <alignment horizontal="center" vertical="top" wrapText="1"/>
    </xf>
    <xf numFmtId="0" fontId="18" fillId="5" borderId="0" xfId="0" applyFont="1" applyFill="1" applyAlignment="1">
      <alignment horizontal="center"/>
    </xf>
    <xf numFmtId="0" fontId="4" fillId="9" borderId="2" xfId="0" applyFont="1" applyFill="1" applyBorder="1" applyAlignment="1">
      <alignment horizontal="center" vertical="top" wrapText="1" shrinkToFit="1"/>
    </xf>
    <xf numFmtId="0" fontId="17" fillId="0" borderId="11" xfId="0" applyFont="1" applyBorder="1"/>
    <xf numFmtId="0" fontId="17" fillId="0" borderId="12" xfId="0" applyFont="1" applyBorder="1"/>
    <xf numFmtId="0" fontId="5" fillId="2" borderId="0" xfId="0" applyFont="1" applyFill="1" applyBorder="1" applyAlignment="1">
      <alignment horizontal="right" vertical="center" wrapText="1"/>
    </xf>
    <xf numFmtId="0" fontId="6" fillId="0" borderId="0" xfId="0" applyFont="1" applyAlignment="1">
      <alignment horizontal="center"/>
    </xf>
  </cellXfs>
  <cellStyles count="7">
    <cellStyle name="Normal" xfId="0"/>
    <cellStyle name="Percent" xfId="15"/>
    <cellStyle name="Currency" xfId="16"/>
    <cellStyle name="Currency [0]" xfId="17"/>
    <cellStyle name="Comma" xfId="18"/>
    <cellStyle name="Comma [0]" xfId="19"/>
    <cellStyle name="Normal 2" xfId="20"/>
  </cellStyles>
  <dxfs count="65">
    <dxf>
      <font>
        <b val="0"/>
        <i val="0"/>
        <color theme="0" tint="-0.249939993023872"/>
      </font>
    </dxf>
    <dxf>
      <font>
        <b val="0"/>
        <i/>
        <color theme="5" tint="0.599960029125214"/>
      </font>
    </dxf>
    <dxf>
      <font>
        <b val="0"/>
        <i val="0"/>
        <color theme="0" tint="-0.249939993023872"/>
      </font>
    </dxf>
    <dxf>
      <font>
        <b val="0"/>
        <i/>
        <color theme="5" tint="0.599960029125214"/>
      </font>
    </dxf>
    <dxf>
      <font>
        <b/>
        <i val="0"/>
        <color rgb="FF00B050"/>
      </font>
    </dxf>
    <dxf>
      <font>
        <b/>
        <i val="0"/>
        <color rgb="FFFF0000"/>
      </font>
    </dxf>
    <dxf>
      <font>
        <color theme="0"/>
      </font>
      <fill>
        <patternFill>
          <bgColor theme="1"/>
        </patternFill>
      </fill>
    </dxf>
    <dxf>
      <font>
        <b/>
        <i val="0"/>
        <color rgb="FF00B050"/>
      </font>
    </dxf>
    <dxf>
      <font>
        <b/>
        <i val="0"/>
        <color rgb="FFFF0000"/>
      </font>
    </dxf>
    <dxf>
      <font>
        <color theme="0"/>
      </font>
      <fill>
        <patternFill>
          <bgColor theme="1"/>
        </patternFill>
      </fill>
    </dxf>
    <dxf>
      <font>
        <b/>
        <i val="0"/>
        <color rgb="FF00B050"/>
      </font>
    </dxf>
    <dxf>
      <font>
        <b/>
        <i val="0"/>
        <color rgb="FFFF0000"/>
      </font>
    </dxf>
    <dxf>
      <font>
        <color theme="0"/>
      </font>
      <fill>
        <patternFill>
          <bgColor theme="1"/>
        </patternFill>
      </fill>
    </dxf>
    <dxf>
      <font>
        <b/>
        <i val="0"/>
        <color rgb="FF00B050"/>
      </font>
    </dxf>
    <dxf>
      <font>
        <b/>
        <i val="0"/>
        <color rgb="FFFF0000"/>
      </font>
    </dxf>
    <dxf>
      <font>
        <color theme="0"/>
      </font>
      <fill>
        <patternFill>
          <bgColor theme="1"/>
        </patternFill>
      </fill>
    </dxf>
    <dxf>
      <font>
        <b/>
        <i val="0"/>
        <color rgb="FF00B050"/>
      </font>
    </dxf>
    <dxf>
      <font>
        <b/>
        <i val="0"/>
        <color rgb="FFFF0000"/>
      </font>
    </dxf>
    <dxf>
      <font>
        <color theme="0"/>
      </font>
      <fill>
        <patternFill>
          <bgColor theme="1"/>
        </patternFill>
      </fill>
    </dxf>
    <dxf>
      <font>
        <b/>
        <i val="0"/>
        <color rgb="FF00B050"/>
      </font>
    </dxf>
    <dxf>
      <font>
        <b/>
        <i val="0"/>
        <color rgb="FFFF0000"/>
      </font>
    </dxf>
    <dxf>
      <font>
        <color theme="0"/>
      </font>
      <fill>
        <patternFill>
          <bgColor theme="1"/>
        </patternFill>
      </fill>
    </dxf>
    <dxf>
      <font>
        <b/>
        <i val="0"/>
        <color rgb="FF00B050"/>
      </font>
    </dxf>
    <dxf>
      <font>
        <b/>
        <i val="0"/>
        <color rgb="FFFF0000"/>
      </font>
    </dxf>
    <dxf>
      <font>
        <color theme="0"/>
      </font>
      <fill>
        <patternFill>
          <bgColor theme="1"/>
        </patternFill>
      </fill>
    </dxf>
    <dxf>
      <font>
        <b/>
        <i val="0"/>
        <color rgb="FF00B050"/>
      </font>
    </dxf>
    <dxf>
      <font>
        <b/>
        <i val="0"/>
        <color rgb="FFFF0000"/>
      </font>
    </dxf>
    <dxf>
      <font>
        <color theme="0"/>
      </font>
      <fill>
        <patternFill>
          <bgColor theme="1"/>
        </patternFill>
      </fill>
    </dxf>
    <dxf>
      <font>
        <b/>
        <i val="0"/>
        <color rgb="FF00B050"/>
      </font>
    </dxf>
    <dxf>
      <font>
        <b/>
        <i val="0"/>
        <color rgb="FFFF0000"/>
      </font>
    </dxf>
    <dxf>
      <font>
        <color theme="0"/>
      </font>
      <fill>
        <patternFill>
          <bgColor theme="1"/>
        </patternFill>
      </fill>
    </dxf>
    <dxf>
      <font>
        <b/>
        <i val="0"/>
        <color rgb="FF00B050"/>
      </font>
    </dxf>
    <dxf>
      <font>
        <b/>
        <i val="0"/>
        <color rgb="FFFF0000"/>
      </font>
    </dxf>
    <dxf>
      <font>
        <color theme="0"/>
      </font>
      <fill>
        <patternFill>
          <bgColor theme="1"/>
        </patternFill>
      </fill>
    </dxf>
    <dxf>
      <font>
        <b/>
        <i val="0"/>
        <color rgb="FF00B050"/>
      </font>
    </dxf>
    <dxf>
      <font>
        <b/>
        <i val="0"/>
        <color rgb="FFFF0000"/>
      </font>
    </dxf>
    <dxf>
      <font>
        <color theme="0"/>
      </font>
      <fill>
        <patternFill>
          <bgColor theme="1"/>
        </patternFill>
      </fill>
    </dxf>
    <dxf>
      <font>
        <b/>
        <i val="0"/>
        <color rgb="FF00B050"/>
      </font>
    </dxf>
    <dxf>
      <font>
        <b/>
        <i val="0"/>
        <color rgb="FFFF0000"/>
      </font>
    </dxf>
    <dxf>
      <font>
        <color theme="0"/>
      </font>
      <fill>
        <patternFill>
          <bgColor theme="1"/>
        </patternFill>
      </fill>
    </dxf>
    <dxf>
      <font>
        <b/>
        <i val="0"/>
        <color rgb="FF00B050"/>
      </font>
    </dxf>
    <dxf>
      <font>
        <b/>
        <i val="0"/>
        <color rgb="FFFF0000"/>
      </font>
    </dxf>
    <dxf>
      <font>
        <color theme="0"/>
      </font>
      <fill>
        <patternFill>
          <bgColor theme="1"/>
        </patternFill>
      </fill>
    </dxf>
    <dxf>
      <font>
        <b/>
        <i val="0"/>
        <color rgb="FF00B050"/>
      </font>
    </dxf>
    <dxf>
      <font>
        <b/>
        <i val="0"/>
        <color rgb="FFFF0000"/>
      </font>
    </dxf>
    <dxf>
      <font>
        <color theme="0"/>
      </font>
      <fill>
        <patternFill>
          <bgColor theme="1"/>
        </patternFill>
      </fill>
    </dxf>
    <dxf>
      <font>
        <b/>
        <i val="0"/>
        <color rgb="FF00B050"/>
      </font>
    </dxf>
    <dxf>
      <font>
        <b/>
        <i val="0"/>
        <color rgb="FFFF0000"/>
      </font>
    </dxf>
    <dxf>
      <font>
        <color theme="0"/>
      </font>
      <fill>
        <patternFill>
          <bgColor theme="1"/>
        </patternFill>
      </fill>
    </dxf>
    <dxf>
      <font>
        <b val="0"/>
        <i val="0"/>
        <color theme="0" tint="-0.249939993023872"/>
      </font>
    </dxf>
    <dxf>
      <font>
        <b val="0"/>
        <i/>
        <color theme="5" tint="0.599960029125214"/>
      </font>
    </dxf>
    <dxf>
      <font>
        <b/>
        <i val="0"/>
        <color rgb="FF00B050"/>
      </font>
    </dxf>
    <dxf>
      <font>
        <b/>
        <i val="0"/>
        <color rgb="FFFF0000"/>
      </font>
    </dxf>
    <dxf>
      <font>
        <color theme="0"/>
      </font>
      <fill>
        <patternFill>
          <bgColor theme="1"/>
        </patternFill>
      </fill>
    </dxf>
    <dxf>
      <font>
        <b/>
        <i val="0"/>
        <color rgb="FFFF0000"/>
      </font>
    </dxf>
    <dxf>
      <font>
        <b/>
        <i val="0"/>
        <color rgb="FF00B050"/>
      </font>
    </dxf>
    <dxf>
      <font>
        <b val="0"/>
        <i val="0"/>
        <color theme="0" tint="-0.249939993023872"/>
      </font>
    </dxf>
    <dxf>
      <font>
        <b val="0"/>
        <i/>
        <color theme="5" tint="0.599960029125214"/>
      </font>
    </dxf>
    <dxf>
      <font>
        <b val="0"/>
        <i val="0"/>
        <color theme="0" tint="-0.249939993023872"/>
      </font>
    </dxf>
    <dxf>
      <font>
        <b val="0"/>
        <i/>
        <color theme="5" tint="0.599960029125214"/>
      </font>
    </dxf>
    <dxf>
      <font>
        <b/>
        <i val="0"/>
        <color rgb="FF00B050"/>
      </font>
    </dxf>
    <dxf>
      <font>
        <b/>
        <i val="0"/>
        <color rgb="FFFF0000"/>
      </font>
    </dxf>
    <dxf>
      <font>
        <color theme="0"/>
      </font>
      <fill>
        <patternFill>
          <bgColor theme="1"/>
        </patternFill>
      </fill>
    </dxf>
    <dxf>
      <font>
        <b/>
        <i val="0"/>
        <color rgb="FFFF0000"/>
      </font>
    </dxf>
    <dxf>
      <font>
        <b/>
        <i val="0"/>
        <color rgb="FF00B05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styles" Target="styles.xml" /><Relationship Id="rId4" Type="http://schemas.openxmlformats.org/officeDocument/2006/relationships/sharedStrings" Target="sharedStrings.xml" /><Relationship Id="rId5" Type="http://schemas.openxmlformats.org/officeDocument/2006/relationships/theme" Target="theme/theme1.xml" /><Relationship Id="rId6" Type="http://schemas.openxmlformats.org/officeDocument/2006/relationships/externalLink" Target="externalLinks/externalLink1.xml" /></Relationships>
</file>

<file path=xl/externalLinks/_rels/externalLink1.xml.rels><?xml version="1.0" encoding="utf-8" standalone="yes"?><Relationships xmlns="http://schemas.openxmlformats.org/package/2006/relationships"><Relationship Id="rId1" Type="http://schemas.openxmlformats.org/officeDocument/2006/relationships/externalLinkPath" Target="No_Limit_Leakage_Export.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Leakage Tree Data"/>
    </sheetNames>
    <sheetDataSet>
      <sheetData sheetId="0">
        <row r="1">
          <cell r="A1" t="str">
            <v>No_Limit_Leakage_Export</v>
          </cell>
        </row>
        <row r="2">
          <cell r="A2" t="str">
            <v>Geography 2 : Total US - Target Corporate</v>
          </cell>
        </row>
        <row r="3">
          <cell r="A3" t="str">
            <v>Time : Latest 52 Weeks Ending Jan-24-2016</v>
          </cell>
        </row>
        <row r="4">
          <cell r="A4" t="str">
            <v>Product : AISLE-LAUNDRY</v>
          </cell>
        </row>
        <row r="5">
          <cell r="A5" t="str">
            <v>HH Demo Summary : All HH Income Per Capita</v>
          </cell>
        </row>
        <row r="6">
          <cell r="A6" t="str">
            <v>Trip Mission : All Trip Missions</v>
          </cell>
        </row>
        <row r="7">
          <cell r="A7" t="str">
            <v>Parent Company : Total (Unfiltered)</v>
          </cell>
        </row>
        <row r="8">
          <cell r="A8" t="str">
            <v>Geography</v>
          </cell>
          <cell r="B8" t="str">
            <v>Current</v>
          </cell>
          <cell r="Q8" t="str">
            <v>Change vs YA</v>
          </cell>
        </row>
        <row r="9">
          <cell r="B9" t="str">
            <v>Same Outlet Parent Geography</v>
          </cell>
          <cell r="C9" t="str">
            <v>Segment HHs</v>
          </cell>
          <cell r="D9" t="str">
            <v>Retailer Shoppers</v>
          </cell>
          <cell r="E9" t="str">
            <v>% HHs Shopping</v>
          </cell>
          <cell r="F9" t="str">
            <v>HH Not Shopping</v>
          </cell>
          <cell r="G9" t="str">
            <v>% HH Not Shopping</v>
          </cell>
          <cell r="H9" t="str">
            <v>Anywhere Product Buyers (G2 Shoppers)</v>
          </cell>
          <cell r="I9" t="str">
            <v>Leakage Outlet Parent</v>
          </cell>
          <cell r="J9" t="str">
            <v>% All Outlet Buyers Unconverted (G2 Shoppers)</v>
          </cell>
          <cell r="K9" t="str">
            <v>Product Buyers (G2 Shoppers)</v>
          </cell>
          <cell r="L9" t="str">
            <v>Product Volume (G2 Converted Buyers)</v>
          </cell>
          <cell r="M9" t="str">
            <v>Product Volume (G2 Unconverted Buyers)</v>
          </cell>
          <cell r="N9" t="str">
            <v>Leakage Volume Captured (G2 Converted Buyers)</v>
          </cell>
          <cell r="O9" t="str">
            <v>% All Outlet Buyer Conversion Among Shoppers</v>
          </cell>
          <cell r="P9" t="str">
            <v>$ Opp 1 More Pt Buyer Conversion</v>
          </cell>
          <cell r="Q9" t="str">
            <v>Same Outlet Parent Geography</v>
          </cell>
          <cell r="R9" t="str">
            <v>Segment HHs</v>
          </cell>
          <cell r="S9" t="str">
            <v>Retailer Shoppers</v>
          </cell>
          <cell r="T9" t="str">
            <v>% HHs Shopping</v>
          </cell>
          <cell r="U9" t="str">
            <v>HH Not Shopping</v>
          </cell>
          <cell r="V9" t="str">
            <v>% HH Not Shopping</v>
          </cell>
          <cell r="W9" t="str">
            <v>Anywhere Product Buyers (G2 Shoppers)</v>
          </cell>
          <cell r="X9" t="str">
            <v>Leakage Outlet Parent</v>
          </cell>
          <cell r="Y9" t="str">
            <v>% All Outlet Buyers Unconverted (G2 Shoppers)</v>
          </cell>
          <cell r="Z9" t="str">
            <v>Product Buyers (G2 Shoppers)</v>
          </cell>
          <cell r="AA9" t="str">
            <v>Product Volume (G2 Converted Buyers)</v>
          </cell>
          <cell r="AB9" t="str">
            <v>Product Volume (G2 Unconverted Buyers)</v>
          </cell>
          <cell r="AC9" t="str">
            <v>Leakage Volume Captured (G2 Converted Buyers)</v>
          </cell>
          <cell r="AD9" t="str">
            <v>% All Outlet Buyer Conversion Among Shoppers</v>
          </cell>
          <cell r="AE9" t="str">
            <v>$ Opp 1 More Pt Buyer Conversion</v>
          </cell>
        </row>
        <row r="10">
          <cell r="A10" t="str">
            <v>Total US - Target Corporate</v>
          </cell>
          <cell r="B10" t="str">
            <v>Total US - MassX and SupercenterX</v>
          </cell>
          <cell r="C10">
            <v>121171760.292236</v>
          </cell>
          <cell r="D10">
            <v>67139996.1974487</v>
          </cell>
          <cell r="E10">
            <v>55.4089468004126</v>
          </cell>
          <cell r="F10">
            <v>54031764.0947876</v>
          </cell>
          <cell r="G10">
            <v>44.5910531995874</v>
          </cell>
          <cell r="H10">
            <v>61518209.9918823</v>
          </cell>
          <cell r="I10" t="str">
            <v>MassX and SupercenterX</v>
          </cell>
          <cell r="J10">
            <v>73.1552400555661</v>
          </cell>
          <cell r="K10">
            <v>16514415.7944336</v>
          </cell>
          <cell r="L10">
            <v>244721367.615505</v>
          </cell>
          <cell r="N10">
            <v>0</v>
          </cell>
          <cell r="O10">
            <v>26.844759944434</v>
          </cell>
          <cell r="P10">
            <v>16876764.4116231</v>
          </cell>
          <cell r="R10">
            <v>1017625.85098267</v>
          </cell>
          <cell r="S10">
            <v>-1260400.19039917</v>
          </cell>
          <cell r="T10">
            <v>-1.51826315863424</v>
          </cell>
          <cell r="U10">
            <v>2278026.04138184</v>
          </cell>
          <cell r="V10">
            <v>1.51826315863424</v>
          </cell>
          <cell r="W10">
            <v>-1855949.2237854</v>
          </cell>
          <cell r="Y10">
            <v>2.05894377096612</v>
          </cell>
          <cell r="Z10">
            <v>-1803063.41738892</v>
          </cell>
          <cell r="AA10">
            <v>-45103061.7511234</v>
          </cell>
          <cell r="AC10">
            <v>0</v>
          </cell>
          <cell r="AD10">
            <v>-2.05894377096612</v>
          </cell>
        </row>
        <row r="11">
          <cell r="A11" t="str">
            <v>Total US - All Outlets</v>
          </cell>
          <cell r="B11" t="str">
            <v>Total US - All Outlets</v>
          </cell>
          <cell r="C11">
            <v>121171760.292236</v>
          </cell>
          <cell r="D11">
            <v>121171760.292236</v>
          </cell>
          <cell r="E11">
            <v>100</v>
          </cell>
          <cell r="F11">
            <v>0</v>
          </cell>
          <cell r="G11">
            <v>0</v>
          </cell>
          <cell r="H11">
            <v>61518209.9918823</v>
          </cell>
          <cell r="I11" t="str">
            <v>All Outlets</v>
          </cell>
          <cell r="J11">
            <v>0</v>
          </cell>
          <cell r="K11">
            <v>61518209.9918823</v>
          </cell>
          <cell r="L11">
            <v>780900029.86931</v>
          </cell>
          <cell r="M11">
            <v>1805462067.56759</v>
          </cell>
          <cell r="N11">
            <v>536178662.253805</v>
          </cell>
          <cell r="O11">
            <v>100</v>
          </cell>
          <cell r="R11">
            <v>1017625.85098267</v>
          </cell>
          <cell r="S11">
            <v>1017625.85098267</v>
          </cell>
          <cell r="T11">
            <v>0</v>
          </cell>
          <cell r="U11">
            <v>0</v>
          </cell>
          <cell r="V11">
            <v>0</v>
          </cell>
          <cell r="W11">
            <v>-1855949.2237854</v>
          </cell>
          <cell r="Y11">
            <v>0</v>
          </cell>
          <cell r="Z11">
            <v>-1855949.2237854</v>
          </cell>
          <cell r="AA11">
            <v>-155231933.90303</v>
          </cell>
          <cell r="AB11">
            <v>-87366926.1142564</v>
          </cell>
          <cell r="AC11">
            <v>-110128872.151907</v>
          </cell>
          <cell r="AD11">
            <v>0</v>
          </cell>
        </row>
        <row r="12">
          <cell r="A12" t="str">
            <v>Total US - Club</v>
          </cell>
          <cell r="B12" t="str">
            <v>Total US - Club</v>
          </cell>
          <cell r="C12">
            <v>121171760.292236</v>
          </cell>
          <cell r="D12">
            <v>64718222.1340942</v>
          </cell>
          <cell r="E12">
            <v>53.4103176994457</v>
          </cell>
          <cell r="F12">
            <v>56453538.1581421</v>
          </cell>
          <cell r="G12">
            <v>46.5896823005543</v>
          </cell>
          <cell r="H12">
            <v>61518209.9918823</v>
          </cell>
          <cell r="I12" t="str">
            <v>Club</v>
          </cell>
          <cell r="J12">
            <v>71.9835231653734</v>
          </cell>
          <cell r="K12">
            <v>17235235.0514526</v>
          </cell>
          <cell r="L12">
            <v>125375169.562042</v>
          </cell>
          <cell r="M12">
            <v>425359948.164246</v>
          </cell>
          <cell r="N12">
            <v>125375169.562042</v>
          </cell>
          <cell r="O12">
            <v>43.5480660563332</v>
          </cell>
          <cell r="P12">
            <v>25285757.7107018</v>
          </cell>
          <cell r="R12">
            <v>1017625.85098267</v>
          </cell>
          <cell r="S12">
            <v>399802.228637695</v>
          </cell>
          <cell r="T12">
            <v>-0.119608844116883</v>
          </cell>
          <cell r="U12">
            <v>617823.622344971</v>
          </cell>
          <cell r="V12">
            <v>0.119608844116883</v>
          </cell>
          <cell r="W12">
            <v>-1855949.2237854</v>
          </cell>
          <cell r="Y12">
            <v>-0.0717617079024819</v>
          </cell>
          <cell r="Z12">
            <v>-474493.205322266</v>
          </cell>
          <cell r="AA12">
            <v>-20949862.1638031</v>
          </cell>
          <cell r="AB12">
            <v>-13723169.0442581</v>
          </cell>
          <cell r="AC12">
            <v>-20949862.1638031</v>
          </cell>
          <cell r="AD12">
            <v>-0.247508380577806</v>
          </cell>
        </row>
        <row r="13">
          <cell r="A13" t="str">
            <v>Total US - BJs Wholesale</v>
          </cell>
          <cell r="B13" t="str">
            <v>Total US - Club</v>
          </cell>
          <cell r="C13">
            <v>121171760.292236</v>
          </cell>
          <cell r="D13">
            <v>10550518.0960083</v>
          </cell>
          <cell r="E13">
            <v>8.70707669061096</v>
          </cell>
          <cell r="F13">
            <v>110621242.196228</v>
          </cell>
          <cell r="G13">
            <v>91.292923309389</v>
          </cell>
          <cell r="H13">
            <v>61518209.9918823</v>
          </cell>
          <cell r="I13" t="str">
            <v>Club</v>
          </cell>
          <cell r="J13">
            <v>95.3848887399709</v>
          </cell>
          <cell r="K13">
            <v>2839133.83630371</v>
          </cell>
          <cell r="L13">
            <v>22749119.1530762</v>
          </cell>
          <cell r="M13">
            <v>74140217.3533936</v>
          </cell>
          <cell r="N13">
            <v>22749119.1530762</v>
          </cell>
          <cell r="O13">
            <v>43.9500707569037</v>
          </cell>
          <cell r="P13">
            <v>4708041.33283869</v>
          </cell>
          <cell r="R13">
            <v>1017625.85098267</v>
          </cell>
          <cell r="S13">
            <v>-50874.4582519531</v>
          </cell>
          <cell r="T13">
            <v>-0.116084163203466</v>
          </cell>
          <cell r="U13">
            <v>1068500.30923462</v>
          </cell>
          <cell r="V13">
            <v>0.116084163203467</v>
          </cell>
          <cell r="W13">
            <v>-1855949.2237854</v>
          </cell>
          <cell r="Y13">
            <v>-0.162161077894723</v>
          </cell>
          <cell r="Z13">
            <v>17114.0980834961</v>
          </cell>
          <cell r="AA13">
            <v>2097095.86328125</v>
          </cell>
          <cell r="AB13">
            <v>1653952.54504395</v>
          </cell>
          <cell r="AC13">
            <v>2097095.86328125</v>
          </cell>
          <cell r="AD13">
            <v>1.09225598092273</v>
          </cell>
        </row>
        <row r="14">
          <cell r="A14" t="str">
            <v>Total US - Costco</v>
          </cell>
          <cell r="B14" t="str">
            <v>Total US - Club</v>
          </cell>
          <cell r="C14">
            <v>121171760.292236</v>
          </cell>
          <cell r="D14">
            <v>29920685.7605286</v>
          </cell>
          <cell r="E14">
            <v>24.6927878974171</v>
          </cell>
          <cell r="F14">
            <v>91251074.5317078</v>
          </cell>
          <cell r="G14">
            <v>75.3072121025829</v>
          </cell>
          <cell r="H14">
            <v>61518209.9918823</v>
          </cell>
          <cell r="I14" t="str">
            <v>Club</v>
          </cell>
          <cell r="J14">
            <v>85.8364609660613</v>
          </cell>
          <cell r="K14">
            <v>8713155.68518066</v>
          </cell>
          <cell r="L14">
            <v>63105851.6976624</v>
          </cell>
          <cell r="M14">
            <v>194160582.373535</v>
          </cell>
          <cell r="N14">
            <v>63105851.6976624</v>
          </cell>
          <cell r="O14">
            <v>45.2705308274127</v>
          </cell>
          <cell r="P14">
            <v>10563480.5454951</v>
          </cell>
          <cell r="R14">
            <v>1017625.85098267</v>
          </cell>
          <cell r="S14">
            <v>877609.887481689</v>
          </cell>
          <cell r="T14">
            <v>0.521271862530444</v>
          </cell>
          <cell r="U14">
            <v>140015.963500977</v>
          </cell>
          <cell r="V14">
            <v>-0.52127186253044</v>
          </cell>
          <cell r="W14">
            <v>-1855949.2237854</v>
          </cell>
          <cell r="Y14">
            <v>-0.134644097630456</v>
          </cell>
          <cell r="Z14">
            <v>-177538.527954102</v>
          </cell>
          <cell r="AA14">
            <v>-9937280.11541748</v>
          </cell>
          <cell r="AB14">
            <v>-8769354.89709473</v>
          </cell>
          <cell r="AC14">
            <v>-9937280.11541748</v>
          </cell>
          <cell r="AD14">
            <v>-0.307677386399327</v>
          </cell>
        </row>
        <row r="15">
          <cell r="A15" t="str">
            <v>Total US - Sams Club</v>
          </cell>
          <cell r="B15" t="str">
            <v>Total US - Club</v>
          </cell>
          <cell r="C15">
            <v>121171760.292236</v>
          </cell>
          <cell r="D15">
            <v>32458116.1795349</v>
          </cell>
          <cell r="E15">
            <v>26.7868652739334</v>
          </cell>
          <cell r="F15">
            <v>88713644.1127014</v>
          </cell>
          <cell r="G15">
            <v>73.2131347260666</v>
          </cell>
          <cell r="H15">
            <v>61518209.9918823</v>
          </cell>
          <cell r="I15" t="str">
            <v>Club</v>
          </cell>
          <cell r="J15">
            <v>89.2701247388727</v>
          </cell>
          <cell r="K15">
            <v>6600827.19500732</v>
          </cell>
          <cell r="L15">
            <v>38842172.0863037</v>
          </cell>
          <cell r="M15">
            <v>155684875.385925</v>
          </cell>
          <cell r="N15">
            <v>38842172.0863037</v>
          </cell>
          <cell r="O15">
            <v>34.8462070860095</v>
          </cell>
          <cell r="P15">
            <v>11797985.6739397</v>
          </cell>
          <cell r="R15">
            <v>1017625.85098267</v>
          </cell>
          <cell r="S15">
            <v>102522.283081055</v>
          </cell>
          <cell r="T15">
            <v>-0.141541348872636</v>
          </cell>
          <cell r="U15">
            <v>915103.567901611</v>
          </cell>
          <cell r="V15">
            <v>0.141541348872636</v>
          </cell>
          <cell r="W15">
            <v>-1855949.2237854</v>
          </cell>
          <cell r="Y15">
            <v>0.151305090729963</v>
          </cell>
          <cell r="Z15">
            <v>-295029.365722656</v>
          </cell>
          <cell r="AA15">
            <v>-12987639.8187714</v>
          </cell>
          <cell r="AB15">
            <v>-5246385.11656952</v>
          </cell>
          <cell r="AC15">
            <v>-12987639.8187714</v>
          </cell>
          <cell r="AD15">
            <v>-0.979013096716542</v>
          </cell>
        </row>
        <row r="16">
          <cell r="A16" t="str">
            <v>Total US - Convenience-Gas</v>
          </cell>
          <cell r="B16" t="str">
            <v>Total US - Convenience-Gas</v>
          </cell>
          <cell r="C16">
            <v>121171760.292236</v>
          </cell>
          <cell r="D16">
            <v>40270059.2756653</v>
          </cell>
          <cell r="E16">
            <v>33.2338650346779</v>
          </cell>
          <cell r="F16">
            <v>80901701.016571</v>
          </cell>
          <cell r="G16">
            <v>66.7661349653221</v>
          </cell>
          <cell r="H16">
            <v>61518209.9918823</v>
          </cell>
          <cell r="I16" t="str">
            <v>Convenience-Gas</v>
          </cell>
          <cell r="J16">
            <v>99.6400697654541</v>
          </cell>
          <cell r="K16">
            <v>221422.637512207</v>
          </cell>
          <cell r="M16">
            <v>1749131.12713623</v>
          </cell>
          <cell r="O16">
            <v>1.28441904241364</v>
          </cell>
          <cell r="P16">
            <v>4097979.96039629</v>
          </cell>
          <cell r="R16">
            <v>1017625.85098267</v>
          </cell>
          <cell r="S16">
            <v>-1110224.92175293</v>
          </cell>
          <cell r="T16">
            <v>-1.20546940008516</v>
          </cell>
          <cell r="U16">
            <v>2127850.7727356</v>
          </cell>
          <cell r="V16">
            <v>1.20546940008515</v>
          </cell>
          <cell r="W16">
            <v>-1855949.2237854</v>
          </cell>
          <cell r="Y16">
            <v>0.0660578936335696</v>
          </cell>
          <cell r="Z16">
            <v>-48543.7570800781</v>
          </cell>
          <cell r="AB16">
            <v>-87018.6100444794</v>
          </cell>
          <cell r="AD16">
            <v>-0.244689680141233</v>
          </cell>
        </row>
        <row r="17">
          <cell r="A17" t="str">
            <v>Total US - Dollar</v>
          </cell>
          <cell r="B17" t="str">
            <v>Total US - Dollar</v>
          </cell>
          <cell r="C17">
            <v>121171760.292236</v>
          </cell>
          <cell r="D17">
            <v>78403198.1786499</v>
          </cell>
          <cell r="E17">
            <v>64.7041835404229</v>
          </cell>
          <cell r="F17">
            <v>42768562.1135864</v>
          </cell>
          <cell r="G17">
            <v>35.2958164595771</v>
          </cell>
          <cell r="H17">
            <v>61518209.9918823</v>
          </cell>
          <cell r="I17" t="str">
            <v>Dollar</v>
          </cell>
          <cell r="J17">
            <v>83.4657380486263</v>
          </cell>
          <cell r="K17">
            <v>10171581.987854</v>
          </cell>
          <cell r="L17">
            <v>27101147.6429348</v>
          </cell>
          <cell r="M17">
            <v>118574240.317994</v>
          </cell>
          <cell r="N17">
            <v>27101147.6429348</v>
          </cell>
          <cell r="O17">
            <v>29.9296720642789</v>
          </cell>
          <cell r="P17">
            <v>10548756.8955577</v>
          </cell>
          <cell r="R17">
            <v>1017625.85098267</v>
          </cell>
          <cell r="S17">
            <v>505171.233154297</v>
          </cell>
          <cell r="T17">
            <v>-0.127565535662228</v>
          </cell>
          <cell r="U17">
            <v>512454.617828369</v>
          </cell>
          <cell r="V17">
            <v>0.127565535662228</v>
          </cell>
          <cell r="W17">
            <v>-1855949.2237854</v>
          </cell>
          <cell r="Y17">
            <v>-0.397488347905764</v>
          </cell>
          <cell r="Z17">
            <v>-54962.6078796387</v>
          </cell>
          <cell r="AA17">
            <v>-3309982.44059181</v>
          </cell>
          <cell r="AB17">
            <v>-8054727.41242504</v>
          </cell>
          <cell r="AC17">
            <v>-3309982.44059181</v>
          </cell>
          <cell r="AD17">
            <v>-0.589955134021743</v>
          </cell>
        </row>
        <row r="18">
          <cell r="A18" t="str">
            <v>Total US - Deals Dollar Store</v>
          </cell>
          <cell r="B18" t="str">
            <v>Total US - Dollar</v>
          </cell>
          <cell r="C18">
            <v>121171760.292236</v>
          </cell>
          <cell r="D18">
            <v>2813408.28234863</v>
          </cell>
          <cell r="E18">
            <v>2.32183495194209</v>
          </cell>
          <cell r="F18">
            <v>118358352.009888</v>
          </cell>
          <cell r="G18">
            <v>97.6781650480579</v>
          </cell>
          <cell r="H18">
            <v>61518209.9918823</v>
          </cell>
          <cell r="I18" t="str">
            <v>Dollar</v>
          </cell>
          <cell r="J18">
            <v>99.717800108221</v>
          </cell>
          <cell r="K18">
            <v>173604.322021484</v>
          </cell>
          <cell r="M18">
            <v>1373945.76435852</v>
          </cell>
          <cell r="O18">
            <v>10.8788879221134</v>
          </cell>
          <cell r="P18">
            <v>180958.162127344</v>
          </cell>
          <cell r="R18">
            <v>1017625.85098267</v>
          </cell>
          <cell r="S18">
            <v>-157296.78503418</v>
          </cell>
          <cell r="T18">
            <v>-0.150576905708352</v>
          </cell>
          <cell r="U18">
            <v>1174922.63601685</v>
          </cell>
          <cell r="V18">
            <v>0.150576905708348</v>
          </cell>
          <cell r="W18">
            <v>-1855949.2237854</v>
          </cell>
          <cell r="Y18">
            <v>0.0195322569514502</v>
          </cell>
          <cell r="Z18">
            <v>-17615.8903198242</v>
          </cell>
          <cell r="AB18">
            <v>98119.960647583</v>
          </cell>
          <cell r="AD18">
            <v>-1.47437306324709</v>
          </cell>
        </row>
        <row r="19">
          <cell r="A19" t="str">
            <v>Total US - Doll Gen / Doll Gen Mkt</v>
          </cell>
          <cell r="B19" t="str">
            <v>Total US - Dollar</v>
          </cell>
          <cell r="C19">
            <v>121171760.292236</v>
          </cell>
          <cell r="D19">
            <v>34359367.4581299</v>
          </cell>
          <cell r="E19">
            <v>28.355920038847</v>
          </cell>
          <cell r="F19">
            <v>86812392.8341064</v>
          </cell>
          <cell r="G19">
            <v>71.644079961153</v>
          </cell>
          <cell r="H19">
            <v>61518209.9918823</v>
          </cell>
          <cell r="I19" t="str">
            <v>Dollar</v>
          </cell>
          <cell r="J19">
            <v>93.3024991728619</v>
          </cell>
          <cell r="K19">
            <v>4120182.62304688</v>
          </cell>
          <cell r="L19">
            <v>11256588.6043549</v>
          </cell>
          <cell r="M19">
            <v>44822145.5847273</v>
          </cell>
          <cell r="N19">
            <v>11256588.6043549</v>
          </cell>
          <cell r="O19">
            <v>31.7018037894759</v>
          </cell>
          <cell r="P19">
            <v>5338875.12607305</v>
          </cell>
          <cell r="R19">
            <v>1017625.85098267</v>
          </cell>
          <cell r="S19">
            <v>353762.027618408</v>
          </cell>
          <cell r="T19">
            <v>0.0542676748680755</v>
          </cell>
          <cell r="U19">
            <v>663863.823364258</v>
          </cell>
          <cell r="V19">
            <v>-0.0542676748680719</v>
          </cell>
          <cell r="W19">
            <v>-1855949.2237854</v>
          </cell>
          <cell r="Y19">
            <v>0.0399497607713784</v>
          </cell>
          <cell r="Z19">
            <v>-149620.039611816</v>
          </cell>
          <cell r="AA19">
            <v>-1950415.36185837</v>
          </cell>
          <cell r="AB19">
            <v>-4112114.4050703</v>
          </cell>
          <cell r="AC19">
            <v>-1950415.36185837</v>
          </cell>
          <cell r="AD19">
            <v>-1.33633850243688</v>
          </cell>
        </row>
        <row r="20">
          <cell r="A20" t="str">
            <v>Total US - Dollar Tree</v>
          </cell>
          <cell r="B20" t="str">
            <v>Total US - Dollar</v>
          </cell>
          <cell r="C20">
            <v>121171760.292236</v>
          </cell>
          <cell r="D20">
            <v>55606875.5343628</v>
          </cell>
          <cell r="E20">
            <v>45.89095297473</v>
          </cell>
          <cell r="F20">
            <v>65564884.7578735</v>
          </cell>
          <cell r="G20">
            <v>54.10904702527</v>
          </cell>
          <cell r="H20">
            <v>61518209.9918823</v>
          </cell>
          <cell r="I20" t="str">
            <v>Dollar</v>
          </cell>
          <cell r="J20">
            <v>93.8526057956329</v>
          </cell>
          <cell r="K20">
            <v>3781766.87567139</v>
          </cell>
          <cell r="L20">
            <v>4997860.17578888</v>
          </cell>
          <cell r="M20">
            <v>26015682.6169662</v>
          </cell>
          <cell r="N20">
            <v>4997860.17578888</v>
          </cell>
          <cell r="O20">
            <v>13.9915811095724</v>
          </cell>
          <cell r="P20">
            <v>2168831.56614388</v>
          </cell>
          <cell r="R20">
            <v>1017625.85098267</v>
          </cell>
          <cell r="S20">
            <v>1635122.82543945</v>
          </cell>
          <cell r="T20">
            <v>0.972188456217815</v>
          </cell>
          <cell r="U20">
            <v>-617496.974456787</v>
          </cell>
          <cell r="V20">
            <v>-0.972188456217815</v>
          </cell>
          <cell r="W20">
            <v>-1855949.2237854</v>
          </cell>
          <cell r="Y20">
            <v>-0.488155537513876</v>
          </cell>
          <cell r="Z20">
            <v>195271.952545166</v>
          </cell>
          <cell r="AA20">
            <v>741427.453025818</v>
          </cell>
          <cell r="AB20">
            <v>-4095770.45410919</v>
          </cell>
          <cell r="AC20">
            <v>741427.453025818</v>
          </cell>
          <cell r="AD20">
            <v>0.460644864713542</v>
          </cell>
        </row>
        <row r="21">
          <cell r="A21" t="str">
            <v>Total US - Family Dollar</v>
          </cell>
          <cell r="B21" t="str">
            <v>Total US - Dollar</v>
          </cell>
          <cell r="C21">
            <v>121171760.292236</v>
          </cell>
          <cell r="D21">
            <v>21507291.3281555</v>
          </cell>
          <cell r="E21">
            <v>17.7494255066405</v>
          </cell>
          <cell r="F21">
            <v>99664468.9640808</v>
          </cell>
          <cell r="G21">
            <v>82.2505744933595</v>
          </cell>
          <cell r="H21">
            <v>61518209.9918823</v>
          </cell>
          <cell r="I21" t="str">
            <v>Dollar</v>
          </cell>
          <cell r="J21">
            <v>95.6082771162153</v>
          </cell>
          <cell r="K21">
            <v>2701709.3059082</v>
          </cell>
          <cell r="L21">
            <v>7555923.94790649</v>
          </cell>
          <cell r="M21">
            <v>32826501.4282379</v>
          </cell>
          <cell r="N21">
            <v>7555923.94790649</v>
          </cell>
          <cell r="O21">
            <v>29.7851277683145</v>
          </cell>
          <cell r="P21">
            <v>3032496.80981623</v>
          </cell>
          <cell r="R21">
            <v>1017625.85098267</v>
          </cell>
          <cell r="S21">
            <v>-1782013.96429443</v>
          </cell>
          <cell r="T21">
            <v>-1.63343252046853</v>
          </cell>
          <cell r="U21">
            <v>2799639.8152771</v>
          </cell>
          <cell r="V21">
            <v>1.63343252046853</v>
          </cell>
          <cell r="W21">
            <v>-1855949.2237854</v>
          </cell>
          <cell r="Y21">
            <v>-0.0423312521209738</v>
          </cell>
          <cell r="Z21">
            <v>-54681.0716552734</v>
          </cell>
          <cell r="AA21">
            <v>-1194081.80111694</v>
          </cell>
          <cell r="AB21">
            <v>728515.619537354</v>
          </cell>
          <cell r="AC21">
            <v>-1194081.80111694</v>
          </cell>
          <cell r="AD21">
            <v>1.47982082920601</v>
          </cell>
        </row>
        <row r="22">
          <cell r="A22" t="str">
            <v>Total US - Five Below</v>
          </cell>
          <cell r="B22" t="str">
            <v>Total US - Dollar</v>
          </cell>
          <cell r="C22">
            <v>121171760.292236</v>
          </cell>
          <cell r="D22">
            <v>6676053.25598145</v>
          </cell>
          <cell r="E22">
            <v>5.50957850235109</v>
          </cell>
          <cell r="F22">
            <v>114495707.036255</v>
          </cell>
          <cell r="G22">
            <v>94.4904214976489</v>
          </cell>
          <cell r="H22">
            <v>61518209.9918823</v>
          </cell>
          <cell r="I22" t="str">
            <v>Dollar</v>
          </cell>
          <cell r="R22">
            <v>1017625.85098267</v>
          </cell>
          <cell r="S22">
            <v>1025769.99578857</v>
          </cell>
          <cell r="T22">
            <v>0.807049299783003</v>
          </cell>
          <cell r="U22">
            <v>-8144.1448059082</v>
          </cell>
          <cell r="V22">
            <v>-0.807049299783003</v>
          </cell>
          <cell r="W22">
            <v>-1855949.2237854</v>
          </cell>
        </row>
        <row r="23">
          <cell r="A23" t="str">
            <v>Total US - Freds</v>
          </cell>
          <cell r="B23" t="str">
            <v>Total US - Dollar</v>
          </cell>
          <cell r="C23">
            <v>121171760.292236</v>
          </cell>
          <cell r="D23">
            <v>2989745.1673584</v>
          </cell>
          <cell r="E23">
            <v>2.46736133910069</v>
          </cell>
          <cell r="F23">
            <v>118182015.124878</v>
          </cell>
          <cell r="G23">
            <v>97.5326386608993</v>
          </cell>
          <cell r="H23">
            <v>61518209.9918823</v>
          </cell>
          <cell r="I23" t="str">
            <v>Dollar</v>
          </cell>
          <cell r="J23">
            <v>99.7729419671118</v>
          </cell>
          <cell r="K23">
            <v>139682.037475586</v>
          </cell>
          <cell r="M23">
            <v>1679615.16461182</v>
          </cell>
          <cell r="O23">
            <v>23.5763353812861</v>
          </cell>
          <cell r="P23">
            <v>473867.530391531</v>
          </cell>
          <cell r="R23">
            <v>1017625.85098267</v>
          </cell>
          <cell r="S23">
            <v>-554478.842773438</v>
          </cell>
          <cell r="T23">
            <v>-0.482369876236471</v>
          </cell>
          <cell r="U23">
            <v>1572104.6937561</v>
          </cell>
          <cell r="V23">
            <v>0.482369876236461</v>
          </cell>
          <cell r="W23">
            <v>-1855949.2237854</v>
          </cell>
          <cell r="Y23">
            <v>0.191154472744813</v>
          </cell>
          <cell r="Z23">
            <v>-125356.621704102</v>
          </cell>
          <cell r="AB23">
            <v>-314224.443099976</v>
          </cell>
          <cell r="AD23">
            <v>-4.62077726492975</v>
          </cell>
        </row>
        <row r="24">
          <cell r="A24" t="str">
            <v>Total US - Ninetynine Cents</v>
          </cell>
          <cell r="B24" t="str">
            <v>Total US - Dollar</v>
          </cell>
          <cell r="C24">
            <v>121171760.292236</v>
          </cell>
          <cell r="D24">
            <v>6260447.05426025</v>
          </cell>
          <cell r="E24">
            <v>5.16658917817287</v>
          </cell>
          <cell r="F24">
            <v>114911313.237976</v>
          </cell>
          <cell r="G24">
            <v>94.8334108218271</v>
          </cell>
          <cell r="H24">
            <v>61518209.9918823</v>
          </cell>
          <cell r="I24" t="str">
            <v>Dollar</v>
          </cell>
          <cell r="J24">
            <v>98.4184052676352</v>
          </cell>
          <cell r="K24">
            <v>972968.768676758</v>
          </cell>
          <cell r="L24">
            <v>2546034.38015747</v>
          </cell>
          <cell r="M24">
            <v>9579031.14065552</v>
          </cell>
          <cell r="N24">
            <v>2546034.38015747</v>
          </cell>
          <cell r="O24">
            <v>24.1367721905013</v>
          </cell>
          <cell r="P24">
            <v>259979.413049341</v>
          </cell>
          <cell r="R24">
            <v>1017625.85098267</v>
          </cell>
          <cell r="S24">
            <v>-140504.197479248</v>
          </cell>
          <cell r="T24">
            <v>-0.160694216198452</v>
          </cell>
          <cell r="U24">
            <v>1158130.04846191</v>
          </cell>
          <cell r="V24">
            <v>0.160694216198451</v>
          </cell>
          <cell r="W24">
            <v>-1855949.2237854</v>
          </cell>
          <cell r="Y24">
            <v>-0.100202590240457</v>
          </cell>
          <cell r="Z24">
            <v>34148.953918457</v>
          </cell>
          <cell r="AA24">
            <v>376966.094543457</v>
          </cell>
          <cell r="AB24">
            <v>628935.302200317</v>
          </cell>
          <cell r="AC24">
            <v>376966.094543457</v>
          </cell>
          <cell r="AD24">
            <v>1.26489280518662</v>
          </cell>
        </row>
        <row r="25">
          <cell r="A25" t="str">
            <v>Total US - Your Dollar Store w/ More</v>
          </cell>
          <cell r="B25" t="str">
            <v>Total US - Dollar</v>
          </cell>
          <cell r="C25">
            <v>121171760.292236</v>
          </cell>
          <cell r="D25">
            <v>1234525.25256348</v>
          </cell>
          <cell r="E25">
            <v>1.01882257845071</v>
          </cell>
          <cell r="F25">
            <v>119937235.039673</v>
          </cell>
          <cell r="G25">
            <v>98.9811774215493</v>
          </cell>
          <cell r="H25">
            <v>61518209.9918823</v>
          </cell>
          <cell r="I25" t="str">
            <v>Dollar</v>
          </cell>
          <cell r="O25">
            <v>13.0049779449398</v>
          </cell>
          <cell r="P25">
            <v>113015.684855986</v>
          </cell>
          <cell r="R25">
            <v>1017625.85098267</v>
          </cell>
          <cell r="S25">
            <v>-242116.871002197</v>
          </cell>
          <cell r="T25">
            <v>-0.21013398674151</v>
          </cell>
          <cell r="U25">
            <v>1259742.72198486</v>
          </cell>
          <cell r="V25">
            <v>0.210133986741511</v>
          </cell>
          <cell r="W25">
            <v>-1855949.2237854</v>
          </cell>
          <cell r="AD25">
            <v>-3.47522184568417</v>
          </cell>
        </row>
        <row r="26">
          <cell r="A26" t="str">
            <v>Total US - Drug</v>
          </cell>
          <cell r="B26" t="str">
            <v>Total US - Drug</v>
          </cell>
          <cell r="C26">
            <v>121171760.292236</v>
          </cell>
          <cell r="D26">
            <v>85682067.2716064</v>
          </cell>
          <cell r="E26">
            <v>70.7112507608724</v>
          </cell>
          <cell r="F26">
            <v>35489693.0206299</v>
          </cell>
          <cell r="G26">
            <v>29.2887492391276</v>
          </cell>
          <cell r="H26">
            <v>61518209.9918823</v>
          </cell>
          <cell r="I26" t="str">
            <v>Drug</v>
          </cell>
          <cell r="J26">
            <v>82.7961856121306</v>
          </cell>
          <cell r="K26">
            <v>10583478.6617432</v>
          </cell>
          <cell r="L26">
            <v>47367397.3753591</v>
          </cell>
          <cell r="M26">
            <v>106307475.063995</v>
          </cell>
          <cell r="N26">
            <v>47367397.3753591</v>
          </cell>
          <cell r="O26">
            <v>21.3398305397005</v>
          </cell>
          <cell r="P26">
            <v>16222535.3232299</v>
          </cell>
          <cell r="R26">
            <v>1017625.85098267</v>
          </cell>
          <cell r="S26">
            <v>-2373564.65133667</v>
          </cell>
          <cell r="T26">
            <v>-2.5743105994782</v>
          </cell>
          <cell r="U26">
            <v>3391190.50231934</v>
          </cell>
          <cell r="V26">
            <v>2.5743105994782</v>
          </cell>
          <cell r="W26">
            <v>-1855949.2237854</v>
          </cell>
          <cell r="Y26">
            <v>1.74665437338548</v>
          </cell>
          <cell r="Z26">
            <v>-1426221.58312988</v>
          </cell>
          <cell r="AA26">
            <v>-17468320.9703908</v>
          </cell>
          <cell r="AB26">
            <v>-4738390.12012577</v>
          </cell>
          <cell r="AC26">
            <v>-17468320.9703908</v>
          </cell>
          <cell r="AD26">
            <v>-1.30012015982044</v>
          </cell>
        </row>
        <row r="27">
          <cell r="A27" t="str">
            <v>Total US - CVS</v>
          </cell>
          <cell r="B27" t="str">
            <v>Total US - Drug</v>
          </cell>
          <cell r="C27">
            <v>121171760.292236</v>
          </cell>
          <cell r="D27">
            <v>46992078.8173828</v>
          </cell>
          <cell r="E27">
            <v>38.7813783542052</v>
          </cell>
          <cell r="F27">
            <v>74179681.4748535</v>
          </cell>
          <cell r="G27">
            <v>61.2186216457948</v>
          </cell>
          <cell r="H27">
            <v>61518209.9918823</v>
          </cell>
          <cell r="I27" t="str">
            <v>Drug</v>
          </cell>
          <cell r="J27">
            <v>90.6808062709527</v>
          </cell>
          <cell r="K27">
            <v>5733001.16778564</v>
          </cell>
          <cell r="L27">
            <v>25834146.4397683</v>
          </cell>
          <cell r="M27">
            <v>49472203.9836292</v>
          </cell>
          <cell r="N27">
            <v>25834146.4397683</v>
          </cell>
          <cell r="O27">
            <v>19.981325212321</v>
          </cell>
          <cell r="P27">
            <v>8305391.72722789</v>
          </cell>
          <cell r="R27">
            <v>1017625.85098267</v>
          </cell>
          <cell r="S27">
            <v>-1693850.0737915</v>
          </cell>
          <cell r="T27">
            <v>-1.7381835548176</v>
          </cell>
          <cell r="U27">
            <v>2711475.92477417</v>
          </cell>
          <cell r="V27">
            <v>1.7381835548176</v>
          </cell>
          <cell r="W27">
            <v>-1855949.2237854</v>
          </cell>
          <cell r="Y27">
            <v>1.73554086178549</v>
          </cell>
          <cell r="Z27">
            <v>-1272843.93267822</v>
          </cell>
          <cell r="AA27">
            <v>-10390962.2342439</v>
          </cell>
          <cell r="AB27">
            <v>-6007077.55809784</v>
          </cell>
          <cell r="AC27">
            <v>-10390962.2342439</v>
          </cell>
          <cell r="AD27">
            <v>-2.57117337758373</v>
          </cell>
        </row>
        <row r="28">
          <cell r="A28" t="str">
            <v>Total US - Osco Drugs</v>
          </cell>
          <cell r="B28" t="str">
            <v>Total US - Drug</v>
          </cell>
          <cell r="C28">
            <v>121171760.292236</v>
          </cell>
          <cell r="D28">
            <v>326916.465148926</v>
          </cell>
          <cell r="E28">
            <v>0.269795919742755</v>
          </cell>
          <cell r="F28">
            <v>120844843.827087</v>
          </cell>
          <cell r="G28">
            <v>99.7302040802572</v>
          </cell>
          <cell r="H28">
            <v>61518209.9918823</v>
          </cell>
          <cell r="I28" t="str">
            <v>Drug</v>
          </cell>
          <cell r="R28">
            <v>1017625.85098267</v>
          </cell>
          <cell r="S28">
            <v>-64782.1588134766</v>
          </cell>
          <cell r="T28">
            <v>-0.0562008724474573</v>
          </cell>
          <cell r="U28">
            <v>1082408.00979614</v>
          </cell>
          <cell r="V28">
            <v>0.0562008724474481</v>
          </cell>
          <cell r="W28">
            <v>-1855949.2237854</v>
          </cell>
        </row>
        <row r="29">
          <cell r="A29" t="str">
            <v>Total US - Rite Aid</v>
          </cell>
          <cell r="B29" t="str">
            <v>Total US - Drug</v>
          </cell>
          <cell r="C29">
            <v>121171760.292236</v>
          </cell>
          <cell r="D29">
            <v>21645759.9282837</v>
          </cell>
          <cell r="E29">
            <v>17.8637001526424</v>
          </cell>
          <cell r="F29">
            <v>99526000.3639526</v>
          </cell>
          <cell r="G29">
            <v>82.1362998473576</v>
          </cell>
          <cell r="H29">
            <v>61518209.9918823</v>
          </cell>
          <cell r="I29" t="str">
            <v>Drug</v>
          </cell>
          <cell r="J29">
            <v>97.308571589885</v>
          </cell>
          <cell r="K29">
            <v>1655718.58111572</v>
          </cell>
          <cell r="L29">
            <v>6152656.05388069</v>
          </cell>
          <cell r="M29">
            <v>14359910.8831081</v>
          </cell>
          <cell r="N29">
            <v>6152656.05388069</v>
          </cell>
          <cell r="O29">
            <v>14.2745278254724</v>
          </cell>
          <cell r="P29">
            <v>3746449.85615338</v>
          </cell>
          <cell r="R29">
            <v>1017625.85098267</v>
          </cell>
          <cell r="S29">
            <v>-1424736.62191772</v>
          </cell>
          <cell r="T29">
            <v>-1.33705116356068</v>
          </cell>
          <cell r="U29">
            <v>2442362.47290039</v>
          </cell>
          <cell r="V29">
            <v>1.33705116356067</v>
          </cell>
          <cell r="W29">
            <v>-1855949.2237854</v>
          </cell>
          <cell r="Y29">
            <v>0.255831857775206</v>
          </cell>
          <cell r="Z29">
            <v>-212082.833557129</v>
          </cell>
          <cell r="AA29">
            <v>-1526271.36720848</v>
          </cell>
          <cell r="AB29">
            <v>-1452433.9960146</v>
          </cell>
          <cell r="AC29">
            <v>-1526271.36720848</v>
          </cell>
          <cell r="AD29">
            <v>0.254595403053584</v>
          </cell>
        </row>
        <row r="30">
          <cell r="A30" t="str">
            <v>Total US - Walgreens</v>
          </cell>
          <cell r="B30" t="str">
            <v>Total US - Drug</v>
          </cell>
          <cell r="C30">
            <v>121171760.292236</v>
          </cell>
          <cell r="D30">
            <v>55792649.0424805</v>
          </cell>
          <cell r="E30">
            <v>46.0442671691179</v>
          </cell>
          <cell r="F30">
            <v>65379111.2497559</v>
          </cell>
          <cell r="G30">
            <v>53.9557328308821</v>
          </cell>
          <cell r="H30">
            <v>61518209.9918823</v>
          </cell>
          <cell r="I30" t="str">
            <v>Drug</v>
          </cell>
          <cell r="J30">
            <v>92.0245546919681</v>
          </cell>
          <cell r="K30">
            <v>4906351.19238281</v>
          </cell>
          <cell r="L30">
            <v>14172125.6260567</v>
          </cell>
          <cell r="M30">
            <v>38607076.2041416</v>
          </cell>
          <cell r="N30">
            <v>14172125.6260567</v>
          </cell>
          <cell r="O30">
            <v>14.8284694509789</v>
          </cell>
          <cell r="P30">
            <v>7680634.88732753</v>
          </cell>
          <cell r="R30">
            <v>1017625.85098267</v>
          </cell>
          <cell r="S30">
            <v>-2063375.54284668</v>
          </cell>
          <cell r="T30">
            <v>-2.10723827376334</v>
          </cell>
          <cell r="U30">
            <v>3081001.39382935</v>
          </cell>
          <cell r="V30">
            <v>2.10723827376334</v>
          </cell>
          <cell r="W30">
            <v>-1855949.2237854</v>
          </cell>
          <cell r="Y30">
            <v>0.315841143824159</v>
          </cell>
          <cell r="Z30">
            <v>-348181.884643555</v>
          </cell>
          <cell r="AA30">
            <v>-5439781.08112144</v>
          </cell>
          <cell r="AB30">
            <v>2429147.44929504</v>
          </cell>
          <cell r="AC30">
            <v>-5439781.08112144</v>
          </cell>
          <cell r="AD30">
            <v>0.228574896951278</v>
          </cell>
        </row>
        <row r="31">
          <cell r="A31" t="str">
            <v>Total US - GroceryX</v>
          </cell>
          <cell r="B31" t="str">
            <v>Total US - GroceryX</v>
          </cell>
          <cell r="C31">
            <v>121171760.292236</v>
          </cell>
          <cell r="D31">
            <v>119062654.327881</v>
          </cell>
          <cell r="E31">
            <v>98.2594080012795</v>
          </cell>
          <cell r="F31">
            <v>2109105.96435547</v>
          </cell>
          <cell r="G31">
            <v>1.74059199872052</v>
          </cell>
          <cell r="H31">
            <v>61518209.9918823</v>
          </cell>
          <cell r="I31" t="str">
            <v>GroceryX</v>
          </cell>
          <cell r="J31">
            <v>40.5833690104298</v>
          </cell>
          <cell r="K31">
            <v>36552047.8222656</v>
          </cell>
          <cell r="L31">
            <v>181239767.421648</v>
          </cell>
          <cell r="M31">
            <v>610436804.760924</v>
          </cell>
          <cell r="N31">
            <v>181239767.421648</v>
          </cell>
          <cell r="O31">
            <v>60.1775747378468</v>
          </cell>
          <cell r="P31">
            <v>31214209.0877407</v>
          </cell>
          <cell r="R31">
            <v>1017625.85098267</v>
          </cell>
          <cell r="S31">
            <v>689204.991668701</v>
          </cell>
          <cell r="T31">
            <v>-0.258591305758827</v>
          </cell>
          <cell r="U31">
            <v>328420.859313965</v>
          </cell>
          <cell r="V31">
            <v>0.258591305758827</v>
          </cell>
          <cell r="W31">
            <v>-1855949.2237854</v>
          </cell>
          <cell r="Y31">
            <v>2.8854638475359</v>
          </cell>
          <cell r="Z31">
            <v>-2931380.95449829</v>
          </cell>
          <cell r="AA31">
            <v>-55680439.4890461</v>
          </cell>
          <cell r="AB31">
            <v>-63072569.2734518</v>
          </cell>
          <cell r="AC31">
            <v>-55680439.4890461</v>
          </cell>
          <cell r="AD31">
            <v>-2.3838159488075</v>
          </cell>
        </row>
        <row r="32">
          <cell r="A32" t="str">
            <v>Total US - A&amp;P</v>
          </cell>
          <cell r="B32" t="str">
            <v>Total US - GroceryX</v>
          </cell>
          <cell r="C32">
            <v>121171760.292236</v>
          </cell>
          <cell r="D32">
            <v>1228605.45092773</v>
          </cell>
          <cell r="E32">
            <v>1.0139371153515</v>
          </cell>
          <cell r="F32">
            <v>119943154.841309</v>
          </cell>
          <cell r="G32">
            <v>98.9860628846485</v>
          </cell>
          <cell r="H32">
            <v>61518209.9918823</v>
          </cell>
          <cell r="I32" t="str">
            <v>GroceryX</v>
          </cell>
          <cell r="O32">
            <v>16.9056752839046</v>
          </cell>
          <cell r="P32">
            <v>197254.574070453</v>
          </cell>
          <cell r="R32">
            <v>1017625.85098267</v>
          </cell>
          <cell r="S32">
            <v>-65266.0344238281</v>
          </cell>
          <cell r="T32">
            <v>-0.0629059673841752</v>
          </cell>
          <cell r="U32">
            <v>1082891.88540649</v>
          </cell>
          <cell r="V32">
            <v>0.0629059673841823</v>
          </cell>
          <cell r="W32">
            <v>-1855949.2237854</v>
          </cell>
          <cell r="AD32">
            <v>-5.65016915239467</v>
          </cell>
        </row>
        <row r="33">
          <cell r="A33" t="str">
            <v>Total US - Acme Market</v>
          </cell>
          <cell r="B33" t="str">
            <v>Total US - GroceryX</v>
          </cell>
          <cell r="C33">
            <v>121171760.292236</v>
          </cell>
          <cell r="D33">
            <v>2111672.67926025</v>
          </cell>
          <cell r="E33">
            <v>1.74271024384512</v>
          </cell>
          <cell r="F33">
            <v>119060087.612976</v>
          </cell>
          <cell r="G33">
            <v>98.2572897561549</v>
          </cell>
          <cell r="H33">
            <v>61518209.9918823</v>
          </cell>
          <cell r="I33" t="str">
            <v>GroceryX</v>
          </cell>
          <cell r="J33">
            <v>99.5415431498216</v>
          </cell>
          <cell r="K33">
            <v>282034.447814941</v>
          </cell>
          <cell r="M33">
            <v>2324381.02497864</v>
          </cell>
          <cell r="O33">
            <v>26.4217165794879</v>
          </cell>
          <cell r="P33">
            <v>460777.449415948</v>
          </cell>
          <cell r="R33">
            <v>1017625.85098267</v>
          </cell>
          <cell r="S33">
            <v>286357.514343262</v>
          </cell>
          <cell r="T33">
            <v>0.223565544076644</v>
          </cell>
          <cell r="U33">
            <v>731268.336639404</v>
          </cell>
          <cell r="V33">
            <v>-0.223565544076649</v>
          </cell>
          <cell r="W33">
            <v>-1855949.2237854</v>
          </cell>
          <cell r="Y33">
            <v>0.0789551832783388</v>
          </cell>
          <cell r="Z33">
            <v>-58545.9099121094</v>
          </cell>
          <cell r="AB33">
            <v>-1144003.58778477</v>
          </cell>
          <cell r="AD33">
            <v>-4.30306347221032</v>
          </cell>
        </row>
        <row r="34">
          <cell r="A34" t="str">
            <v>Total US - Albertsons</v>
          </cell>
          <cell r="B34" t="str">
            <v>Total US - GroceryX</v>
          </cell>
          <cell r="C34">
            <v>121171760.292236</v>
          </cell>
          <cell r="D34">
            <v>10854346.4588623</v>
          </cell>
          <cell r="E34">
            <v>8.95781858139578</v>
          </cell>
          <cell r="F34">
            <v>110317413.833374</v>
          </cell>
          <cell r="G34">
            <v>91.0421814186042</v>
          </cell>
          <cell r="H34">
            <v>61518209.9918823</v>
          </cell>
          <cell r="I34" t="str">
            <v>GroceryX</v>
          </cell>
          <cell r="J34">
            <v>98.1698851870579</v>
          </cell>
          <cell r="K34">
            <v>1125853.87371826</v>
          </cell>
          <cell r="L34">
            <v>2645514.15057373</v>
          </cell>
          <cell r="M34">
            <v>9334064.06549072</v>
          </cell>
          <cell r="N34">
            <v>2645514.15057373</v>
          </cell>
          <cell r="O34">
            <v>17.925755156572</v>
          </cell>
          <cell r="P34">
            <v>2041012.14365937</v>
          </cell>
          <cell r="R34">
            <v>1017625.85098267</v>
          </cell>
          <cell r="S34">
            <v>-785411.630859375</v>
          </cell>
          <cell r="T34">
            <v>-0.729536867377929</v>
          </cell>
          <cell r="U34">
            <v>1803037.48184204</v>
          </cell>
          <cell r="V34">
            <v>0.729536867377931</v>
          </cell>
          <cell r="W34">
            <v>-1855949.2237854</v>
          </cell>
          <cell r="Y34">
            <v>0.544891333319427</v>
          </cell>
          <cell r="Z34">
            <v>-379286.30279541</v>
          </cell>
          <cell r="AA34">
            <v>-2563501.14738846</v>
          </cell>
          <cell r="AB34">
            <v>-3027732.43192863</v>
          </cell>
          <cell r="AC34">
            <v>-2563501.14738846</v>
          </cell>
          <cell r="AD34">
            <v>-3.27403290101607</v>
          </cell>
        </row>
        <row r="35">
          <cell r="A35" t="str">
            <v>Total US - Aldi</v>
          </cell>
          <cell r="B35" t="str">
            <v>Total US - GroceryX</v>
          </cell>
          <cell r="C35">
            <v>121171760.292236</v>
          </cell>
          <cell r="D35">
            <v>26503214.0120239</v>
          </cell>
          <cell r="E35">
            <v>21.8724345904563</v>
          </cell>
          <cell r="F35">
            <v>94668546.2802124</v>
          </cell>
          <cell r="G35">
            <v>78.1275654095437</v>
          </cell>
          <cell r="H35">
            <v>61518209.9918823</v>
          </cell>
          <cell r="I35" t="str">
            <v>GroceryX</v>
          </cell>
          <cell r="J35">
            <v>97.7138515847417</v>
          </cell>
          <cell r="K35">
            <v>1406397.58282471</v>
          </cell>
          <cell r="L35">
            <v>2258250.69799805</v>
          </cell>
          <cell r="M35">
            <v>7887505.48884583</v>
          </cell>
          <cell r="N35">
            <v>2258250.69799805</v>
          </cell>
          <cell r="O35">
            <v>10.0990621694951</v>
          </cell>
          <cell r="P35">
            <v>1833963.81307837</v>
          </cell>
          <cell r="R35">
            <v>1017625.85098267</v>
          </cell>
          <cell r="S35">
            <v>1529368.64562988</v>
          </cell>
          <cell r="T35">
            <v>1.08759395011667</v>
          </cell>
          <cell r="U35">
            <v>-511742.794647217</v>
          </cell>
          <cell r="V35">
            <v>-1.08759395011666</v>
          </cell>
          <cell r="W35">
            <v>-1855949.2237854</v>
          </cell>
          <cell r="Y35">
            <v>0.0336746115504241</v>
          </cell>
          <cell r="Z35">
            <v>-63770.7557067871</v>
          </cell>
          <cell r="AA35">
            <v>-152850.542480469</v>
          </cell>
          <cell r="AB35">
            <v>-1758864.33274841</v>
          </cell>
          <cell r="AC35">
            <v>-152850.542480469</v>
          </cell>
          <cell r="AD35">
            <v>-1.45663774223306</v>
          </cell>
        </row>
        <row r="36">
          <cell r="A36" t="str">
            <v>Total US - BI Lo</v>
          </cell>
          <cell r="B36" t="str">
            <v>Total US - GroceryX</v>
          </cell>
          <cell r="C36">
            <v>121171760.292236</v>
          </cell>
          <cell r="D36">
            <v>2420141.44134521</v>
          </cell>
          <cell r="E36">
            <v>1.99728173916796</v>
          </cell>
          <cell r="F36">
            <v>118751618.850891</v>
          </cell>
          <cell r="G36">
            <v>98.002718260832</v>
          </cell>
          <cell r="H36">
            <v>61518209.9918823</v>
          </cell>
          <cell r="I36" t="str">
            <v>GroceryX</v>
          </cell>
          <cell r="J36">
            <v>99.3030707553149</v>
          </cell>
          <cell r="K36">
            <v>428738.396240234</v>
          </cell>
          <cell r="M36">
            <v>6092387.56130981</v>
          </cell>
          <cell r="O36">
            <v>35.9551970659519</v>
          </cell>
          <cell r="P36">
            <v>519610.589087687</v>
          </cell>
          <cell r="R36">
            <v>1017625.85098267</v>
          </cell>
          <cell r="S36">
            <v>-99463.617980957</v>
          </cell>
          <cell r="T36">
            <v>-0.0996956732556327</v>
          </cell>
          <cell r="U36">
            <v>1117089.46896362</v>
          </cell>
          <cell r="V36">
            <v>0.0996956732556384</v>
          </cell>
          <cell r="W36">
            <v>-1855949.2237854</v>
          </cell>
          <cell r="Y36">
            <v>0.0159583353651271</v>
          </cell>
          <cell r="Z36">
            <v>-23048.1137695313</v>
          </cell>
          <cell r="AB36">
            <v>-1011973.00143433</v>
          </cell>
          <cell r="AD36">
            <v>-2.40038077889431</v>
          </cell>
        </row>
        <row r="37">
          <cell r="A37" t="str">
            <v>Total US - Bashas</v>
          </cell>
          <cell r="B37" t="str">
            <v>Total US - GroceryX</v>
          </cell>
          <cell r="C37">
            <v>121171760.292236</v>
          </cell>
          <cell r="D37">
            <v>812854.016479492</v>
          </cell>
          <cell r="E37">
            <v>0.6708279342638</v>
          </cell>
          <cell r="F37">
            <v>120358906.275757</v>
          </cell>
          <cell r="G37">
            <v>99.3291720657362</v>
          </cell>
          <cell r="H37">
            <v>61518209.9918823</v>
          </cell>
          <cell r="I37" t="str">
            <v>GroceryX</v>
          </cell>
          <cell r="O37">
            <v>13.8558120642382</v>
          </cell>
          <cell r="P37">
            <v>94517.464980823</v>
          </cell>
          <cell r="R37">
            <v>1017625.85098267</v>
          </cell>
          <cell r="S37">
            <v>-14816.9144287109</v>
          </cell>
          <cell r="T37">
            <v>-0.0180130571486696</v>
          </cell>
          <cell r="U37">
            <v>1032442.76541138</v>
          </cell>
          <cell r="V37">
            <v>0.0180130571486785</v>
          </cell>
          <cell r="W37">
            <v>-1855949.2237854</v>
          </cell>
          <cell r="AD37">
            <v>-0.766598015518266</v>
          </cell>
        </row>
        <row r="38">
          <cell r="A38" t="str">
            <v>Total US - Big Y</v>
          </cell>
          <cell r="B38" t="str">
            <v>Total US - GroceryX</v>
          </cell>
          <cell r="C38">
            <v>121171760.292236</v>
          </cell>
          <cell r="D38">
            <v>1065618.60388184</v>
          </cell>
          <cell r="E38">
            <v>0.879428178076994</v>
          </cell>
          <cell r="F38">
            <v>120106141.688354</v>
          </cell>
          <cell r="G38">
            <v>99.120571821923</v>
          </cell>
          <cell r="H38">
            <v>61518209.9918823</v>
          </cell>
          <cell r="I38" t="str">
            <v>GroceryX</v>
          </cell>
          <cell r="J38">
            <v>99.7406746989465</v>
          </cell>
          <cell r="K38">
            <v>159532.28326416</v>
          </cell>
          <cell r="M38">
            <v>1826152.99577332</v>
          </cell>
          <cell r="O38">
            <v>34.3044974121143</v>
          </cell>
          <cell r="P38">
            <v>215483.978440996</v>
          </cell>
          <cell r="R38">
            <v>1017625.85098267</v>
          </cell>
          <cell r="S38">
            <v>-54598.8517456055</v>
          </cell>
          <cell r="T38">
            <v>-0.052888850243945</v>
          </cell>
          <cell r="U38">
            <v>1072224.70272827</v>
          </cell>
          <cell r="V38">
            <v>0.0528888502439457</v>
          </cell>
          <cell r="W38">
            <v>-1855949.2237854</v>
          </cell>
          <cell r="Y38">
            <v>-0.00836495663533299</v>
          </cell>
          <cell r="Z38">
            <v>488.275024414063</v>
          </cell>
          <cell r="AB38">
            <v>376628.095626831</v>
          </cell>
          <cell r="AD38">
            <v>1.6092276322647</v>
          </cell>
        </row>
        <row r="39">
          <cell r="A39" t="str">
            <v>Total US - Bottom Dollar</v>
          </cell>
          <cell r="B39" t="str">
            <v>Total US - GroceryX</v>
          </cell>
          <cell r="C39">
            <v>121171760.292236</v>
          </cell>
          <cell r="H39">
            <v>61518209.9918823</v>
          </cell>
          <cell r="I39" t="str">
            <v>GroceryX</v>
          </cell>
          <cell r="R39">
            <v>1017625.85098267</v>
          </cell>
          <cell r="W39">
            <v>-1855949.2237854</v>
          </cell>
        </row>
        <row r="40">
          <cell r="A40" t="str">
            <v>Total US - Brookshire Foods</v>
          </cell>
          <cell r="B40" t="str">
            <v>Total US - GroceryX</v>
          </cell>
          <cell r="C40">
            <v>121171760.292236</v>
          </cell>
          <cell r="D40">
            <v>911403.295959473</v>
          </cell>
          <cell r="E40">
            <v>0.752158170980923</v>
          </cell>
          <cell r="F40">
            <v>120260356.996277</v>
          </cell>
          <cell r="G40">
            <v>99.2478418290191</v>
          </cell>
          <cell r="H40">
            <v>61518209.9918823</v>
          </cell>
          <cell r="I40" t="str">
            <v>GroceryX</v>
          </cell>
          <cell r="O40">
            <v>24.0924933659968</v>
          </cell>
          <cell r="P40">
            <v>167453.018079127</v>
          </cell>
          <cell r="R40">
            <v>1017625.85098267</v>
          </cell>
          <cell r="S40">
            <v>32622.8024291992</v>
          </cell>
          <cell r="T40">
            <v>0.0207805137602042</v>
          </cell>
          <cell r="U40">
            <v>985003.048553467</v>
          </cell>
          <cell r="V40">
            <v>-0.0207805137602008</v>
          </cell>
          <cell r="W40">
            <v>-1855949.2237854</v>
          </cell>
          <cell r="AD40">
            <v>1.11054535990552</v>
          </cell>
        </row>
        <row r="41">
          <cell r="A41" t="str">
            <v>Total US - C Town</v>
          </cell>
          <cell r="B41" t="str">
            <v>Total US - GroceryX</v>
          </cell>
          <cell r="C41">
            <v>121171760.292236</v>
          </cell>
          <cell r="D41">
            <v>782622.565979004</v>
          </cell>
          <cell r="E41">
            <v>0.645878680058383</v>
          </cell>
          <cell r="F41">
            <v>120389137.726257</v>
          </cell>
          <cell r="G41">
            <v>99.3541213199416</v>
          </cell>
          <cell r="H41">
            <v>61518209.9918823</v>
          </cell>
          <cell r="I41" t="str">
            <v>GroceryX</v>
          </cell>
          <cell r="O41">
            <v>18.0254174215079</v>
          </cell>
          <cell r="P41">
            <v>152116.846152938</v>
          </cell>
          <cell r="R41">
            <v>1017625.85098267</v>
          </cell>
          <cell r="S41">
            <v>-14901.161315918</v>
          </cell>
          <cell r="T41">
            <v>-0.0178718691870539</v>
          </cell>
          <cell r="U41">
            <v>1032527.01229858</v>
          </cell>
          <cell r="V41">
            <v>0.0178718691870472</v>
          </cell>
          <cell r="W41">
            <v>-1855949.2237854</v>
          </cell>
          <cell r="AD41">
            <v>-1.82772389742637</v>
          </cell>
        </row>
        <row r="42">
          <cell r="A42" t="str">
            <v>Total US - Cub Foods</v>
          </cell>
          <cell r="B42" t="str">
            <v>Total US - GroceryX</v>
          </cell>
          <cell r="C42">
            <v>121171760.292236</v>
          </cell>
          <cell r="D42">
            <v>1569393.66162109</v>
          </cell>
          <cell r="E42">
            <v>1.29518103709652</v>
          </cell>
          <cell r="F42">
            <v>119602366.630615</v>
          </cell>
          <cell r="G42">
            <v>98.7048189629035</v>
          </cell>
          <cell r="H42">
            <v>61518209.9918823</v>
          </cell>
          <cell r="I42" t="str">
            <v>GroceryX</v>
          </cell>
          <cell r="J42">
            <v>99.3377558853689</v>
          </cell>
          <cell r="K42">
            <v>407400.725097656</v>
          </cell>
          <cell r="L42">
            <v>1977933.65781403</v>
          </cell>
          <cell r="M42">
            <v>2532345.04463196</v>
          </cell>
          <cell r="N42">
            <v>1977933.65781403</v>
          </cell>
          <cell r="O42">
            <v>33.9343203780682</v>
          </cell>
          <cell r="P42">
            <v>226542.748809266</v>
          </cell>
          <cell r="R42">
            <v>1017625.85098267</v>
          </cell>
          <cell r="S42">
            <v>28580.2462463379</v>
          </cell>
          <cell r="T42">
            <v>0.0128169948270465</v>
          </cell>
          <cell r="U42">
            <v>989045.604736328</v>
          </cell>
          <cell r="V42">
            <v>-0.012816994827034</v>
          </cell>
          <cell r="W42">
            <v>-1855949.2237854</v>
          </cell>
          <cell r="Y42">
            <v>-0.0315500689952444</v>
          </cell>
          <cell r="Z42">
            <v>7703.67645263672</v>
          </cell>
          <cell r="AA42">
            <v>345073.369293213</v>
          </cell>
          <cell r="AB42">
            <v>-404257.465690613</v>
          </cell>
          <cell r="AC42">
            <v>345073.369293213</v>
          </cell>
          <cell r="AD42">
            <v>-0.599332393485881</v>
          </cell>
        </row>
        <row r="43">
          <cell r="A43" t="str">
            <v>Total US - Dominicks</v>
          </cell>
          <cell r="B43" t="str">
            <v>Total US - GroceryX</v>
          </cell>
          <cell r="C43">
            <v>121171760.292236</v>
          </cell>
          <cell r="H43">
            <v>61518209.9918823</v>
          </cell>
          <cell r="I43" t="str">
            <v>GroceryX</v>
          </cell>
          <cell r="R43">
            <v>1017625.85098267</v>
          </cell>
          <cell r="W43">
            <v>-1855949.2237854</v>
          </cell>
        </row>
        <row r="44">
          <cell r="A44" t="str">
            <v>Total US - Fareway</v>
          </cell>
          <cell r="B44" t="str">
            <v>Total US - GroceryX</v>
          </cell>
          <cell r="C44">
            <v>121171760.292236</v>
          </cell>
          <cell r="D44">
            <v>1315830.93530273</v>
          </cell>
          <cell r="E44">
            <v>1.08592210935062</v>
          </cell>
          <cell r="F44">
            <v>119855929.356934</v>
          </cell>
          <cell r="G44">
            <v>98.9140778906494</v>
          </cell>
          <cell r="H44">
            <v>61518209.9918823</v>
          </cell>
          <cell r="I44" t="str">
            <v>GroceryX</v>
          </cell>
          <cell r="J44">
            <v>99.7581926901886</v>
          </cell>
          <cell r="K44">
            <v>148755.528625488</v>
          </cell>
          <cell r="M44">
            <v>1650047.18029118</v>
          </cell>
          <cell r="O44">
            <v>24.0991848125366</v>
          </cell>
          <cell r="P44">
            <v>182741.036167603</v>
          </cell>
          <cell r="R44">
            <v>1017625.85098267</v>
          </cell>
          <cell r="S44">
            <v>65315.3431091309</v>
          </cell>
          <cell r="T44">
            <v>0.045162589914352</v>
          </cell>
          <cell r="U44">
            <v>952310.507873535</v>
          </cell>
          <cell r="V44">
            <v>-0.0451625899143409</v>
          </cell>
          <cell r="W44">
            <v>-1855949.2237854</v>
          </cell>
          <cell r="Y44">
            <v>0.0407450627105419</v>
          </cell>
          <cell r="Z44">
            <v>-30309.6618041992</v>
          </cell>
          <cell r="AB44">
            <v>162988.658654213</v>
          </cell>
          <cell r="AD44">
            <v>-2.59548684185359</v>
          </cell>
        </row>
        <row r="45">
          <cell r="A45" t="str">
            <v>Total US - Food 4 Less</v>
          </cell>
          <cell r="B45" t="str">
            <v>Total US - GroceryX</v>
          </cell>
          <cell r="C45">
            <v>121171760.292236</v>
          </cell>
          <cell r="D45">
            <v>2915807.03497314</v>
          </cell>
          <cell r="E45">
            <v>2.40634206183102</v>
          </cell>
          <cell r="F45">
            <v>118255953.257263</v>
          </cell>
          <cell r="G45">
            <v>97.593657938169</v>
          </cell>
          <cell r="H45">
            <v>61518209.9918823</v>
          </cell>
          <cell r="I45" t="str">
            <v>GroceryX</v>
          </cell>
          <cell r="J45">
            <v>99.215706301499</v>
          </cell>
          <cell r="K45">
            <v>482483.444396973</v>
          </cell>
          <cell r="L45">
            <v>3350984.56188965</v>
          </cell>
          <cell r="M45">
            <v>10055136.586853</v>
          </cell>
          <cell r="N45">
            <v>3350984.56188965</v>
          </cell>
          <cell r="O45">
            <v>26.7313165911739</v>
          </cell>
          <cell r="P45">
            <v>605066.562019857</v>
          </cell>
          <cell r="R45">
            <v>1017625.85098267</v>
          </cell>
          <cell r="S45">
            <v>-434644.099243164</v>
          </cell>
          <cell r="T45">
            <v>-0.382118901078603</v>
          </cell>
          <cell r="U45">
            <v>1452269.95022583</v>
          </cell>
          <cell r="V45">
            <v>0.382118901078599</v>
          </cell>
          <cell r="W45">
            <v>-1855949.2237854</v>
          </cell>
          <cell r="Y45">
            <v>0.199205531715009</v>
          </cell>
          <cell r="Z45">
            <v>-140800.92364502</v>
          </cell>
          <cell r="AA45">
            <v>-2856218.38720703</v>
          </cell>
          <cell r="AB45">
            <v>-1635935.68478394</v>
          </cell>
          <cell r="AC45">
            <v>-2856218.38720703</v>
          </cell>
          <cell r="AD45">
            <v>-3.86273452209761</v>
          </cell>
        </row>
        <row r="46">
          <cell r="A46" t="str">
            <v>Total US - Food Lion</v>
          </cell>
          <cell r="B46" t="str">
            <v>Total US - GroceryX</v>
          </cell>
          <cell r="C46">
            <v>121171760.292236</v>
          </cell>
          <cell r="D46">
            <v>8116589.36547852</v>
          </cell>
          <cell r="E46">
            <v>6.69841664914606</v>
          </cell>
          <cell r="F46">
            <v>113055170.926758</v>
          </cell>
          <cell r="G46">
            <v>93.3015833508539</v>
          </cell>
          <cell r="H46">
            <v>61518209.9918823</v>
          </cell>
          <cell r="I46" t="str">
            <v>GroceryX</v>
          </cell>
          <cell r="J46">
            <v>98.2396012584932</v>
          </cell>
          <cell r="K46">
            <v>1082965.79449463</v>
          </cell>
          <cell r="L46">
            <v>3779971.80615234</v>
          </cell>
          <cell r="M46">
            <v>12003276.0894623</v>
          </cell>
          <cell r="N46">
            <v>3779971.80615234</v>
          </cell>
          <cell r="O46">
            <v>29.0861392168674</v>
          </cell>
          <cell r="P46">
            <v>1484176.03776319</v>
          </cell>
          <cell r="R46">
            <v>1017625.85098267</v>
          </cell>
          <cell r="S46">
            <v>96923.1474609375</v>
          </cell>
          <cell r="T46">
            <v>0.02393453056479</v>
          </cell>
          <cell r="U46">
            <v>920702.703521729</v>
          </cell>
          <cell r="V46">
            <v>-0.0239345305648015</v>
          </cell>
          <cell r="W46">
            <v>-1855949.2237854</v>
          </cell>
          <cell r="Y46">
            <v>0.00896872833261853</v>
          </cell>
          <cell r="Z46">
            <v>-38355.9629516602</v>
          </cell>
          <cell r="AA46">
            <v>-655115.547988892</v>
          </cell>
          <cell r="AB46">
            <v>269387.52545166</v>
          </cell>
          <cell r="AC46">
            <v>-655115.547988892</v>
          </cell>
          <cell r="AD46">
            <v>-0.705364359430021</v>
          </cell>
        </row>
        <row r="47">
          <cell r="A47" t="str">
            <v>Total US - Fred Meyer</v>
          </cell>
          <cell r="B47" t="str">
            <v>Total US - GroceryX</v>
          </cell>
          <cell r="C47">
            <v>121171760.292236</v>
          </cell>
          <cell r="D47">
            <v>3828643.39715576</v>
          </cell>
          <cell r="E47">
            <v>3.15968290624979</v>
          </cell>
          <cell r="F47">
            <v>117343116.895081</v>
          </cell>
          <cell r="G47">
            <v>96.8403170937502</v>
          </cell>
          <cell r="H47">
            <v>61518209.9918823</v>
          </cell>
          <cell r="I47" t="str">
            <v>GroceryX</v>
          </cell>
          <cell r="J47">
            <v>98.8075727050512</v>
          </cell>
          <cell r="K47">
            <v>733559.927307129</v>
          </cell>
          <cell r="L47">
            <v>1573029.33479309</v>
          </cell>
          <cell r="M47">
            <v>8947260.52957344</v>
          </cell>
          <cell r="N47">
            <v>1573029.33479309</v>
          </cell>
          <cell r="O47">
            <v>38.8669563017578</v>
          </cell>
          <cell r="P47">
            <v>689292.001213403</v>
          </cell>
          <cell r="R47">
            <v>1017625.85098267</v>
          </cell>
          <cell r="S47">
            <v>83852.2239990234</v>
          </cell>
          <cell r="T47">
            <v>0.0430267956873522</v>
          </cell>
          <cell r="U47">
            <v>933773.626983643</v>
          </cell>
          <cell r="V47">
            <v>-0.0430267956873536</v>
          </cell>
          <cell r="W47">
            <v>-1855949.2237854</v>
          </cell>
          <cell r="Y47">
            <v>0.00601222934430723</v>
          </cell>
          <cell r="Z47">
            <v>-25941.044921875</v>
          </cell>
          <cell r="AA47">
            <v>-1172242.80143738</v>
          </cell>
          <cell r="AB47">
            <v>1626400.27356911</v>
          </cell>
          <cell r="AC47">
            <v>-1172242.80143738</v>
          </cell>
          <cell r="AD47">
            <v>-0.14555407723762</v>
          </cell>
        </row>
        <row r="48">
          <cell r="A48" t="str">
            <v>Total US - Fresh &amp; Easy Neighborhood</v>
          </cell>
          <cell r="B48" t="str">
            <v>Total US - GroceryX</v>
          </cell>
          <cell r="C48">
            <v>121171760.292236</v>
          </cell>
          <cell r="D48">
            <v>1436724.10437012</v>
          </cell>
          <cell r="E48">
            <v>1.1856921950338</v>
          </cell>
          <cell r="F48">
            <v>119735036.187866</v>
          </cell>
          <cell r="G48">
            <v>98.8143078049662</v>
          </cell>
          <cell r="H48">
            <v>61518209.9918823</v>
          </cell>
          <cell r="I48" t="str">
            <v>GroceryX</v>
          </cell>
          <cell r="R48">
            <v>1017625.85098267</v>
          </cell>
          <cell r="S48">
            <v>-501982.135375977</v>
          </cell>
          <cell r="T48">
            <v>-0.427823851468927</v>
          </cell>
          <cell r="U48">
            <v>1519607.98635864</v>
          </cell>
          <cell r="V48">
            <v>0.427823851468929</v>
          </cell>
          <cell r="W48">
            <v>-1855949.2237854</v>
          </cell>
        </row>
        <row r="49">
          <cell r="A49" t="str">
            <v>Total US - Fresh Market</v>
          </cell>
          <cell r="B49" t="str">
            <v>Total US - GroceryX</v>
          </cell>
          <cell r="C49">
            <v>121171760.292236</v>
          </cell>
          <cell r="D49">
            <v>1556644.13745117</v>
          </cell>
          <cell r="E49">
            <v>1.28465917611243</v>
          </cell>
          <cell r="F49">
            <v>119615116.154785</v>
          </cell>
          <cell r="G49">
            <v>98.7153408238876</v>
          </cell>
          <cell r="H49">
            <v>61518209.9918823</v>
          </cell>
          <cell r="I49" t="str">
            <v>GroceryX</v>
          </cell>
          <cell r="R49">
            <v>1017625.85098267</v>
          </cell>
          <cell r="S49">
            <v>13113.4857177734</v>
          </cell>
          <cell r="T49">
            <v>3.36749499469935E-05</v>
          </cell>
          <cell r="U49">
            <v>1004512.36526489</v>
          </cell>
          <cell r="V49">
            <v>-3.36749499467714E-05</v>
          </cell>
          <cell r="W49">
            <v>-1855949.2237854</v>
          </cell>
        </row>
        <row r="50">
          <cell r="A50" t="str">
            <v>Total US - Frys</v>
          </cell>
          <cell r="B50" t="str">
            <v>Total US - GroceryX</v>
          </cell>
          <cell r="C50">
            <v>121171760.292236</v>
          </cell>
          <cell r="D50">
            <v>2046207.90725708</v>
          </cell>
          <cell r="E50">
            <v>1.68868381735326</v>
          </cell>
          <cell r="F50">
            <v>119125552.384979</v>
          </cell>
          <cell r="G50">
            <v>98.3113161826467</v>
          </cell>
          <cell r="H50">
            <v>61518209.9918823</v>
          </cell>
          <cell r="I50" t="str">
            <v>GroceryX</v>
          </cell>
          <cell r="J50">
            <v>99.0705836780477</v>
          </cell>
          <cell r="K50">
            <v>571760.284637451</v>
          </cell>
          <cell r="L50">
            <v>3679394.31938171</v>
          </cell>
          <cell r="M50">
            <v>7295317.32318115</v>
          </cell>
          <cell r="N50">
            <v>3679394.31938171</v>
          </cell>
          <cell r="O50">
            <v>48.9083166431753</v>
          </cell>
          <cell r="P50">
            <v>509956.723426754</v>
          </cell>
          <cell r="R50">
            <v>1017625.85098267</v>
          </cell>
          <cell r="S50">
            <v>-10099.5990905762</v>
          </cell>
          <cell r="T50">
            <v>-0.022707568311487</v>
          </cell>
          <cell r="U50">
            <v>1027725.45007324</v>
          </cell>
          <cell r="V50">
            <v>0.022707568311489</v>
          </cell>
          <cell r="W50">
            <v>-1855949.2237854</v>
          </cell>
          <cell r="Y50">
            <v>0.0283732036385231</v>
          </cell>
          <cell r="Z50">
            <v>-35230.7742614746</v>
          </cell>
          <cell r="AA50">
            <v>393237.020004272</v>
          </cell>
          <cell r="AB50">
            <v>-336759.364456177</v>
          </cell>
          <cell r="AC50">
            <v>393237.020004272</v>
          </cell>
          <cell r="AD50">
            <v>-1.29358660459402</v>
          </cell>
        </row>
        <row r="51">
          <cell r="A51" t="str">
            <v>Total US - Giant Eagle</v>
          </cell>
          <cell r="B51" t="str">
            <v>Total US - GroceryX</v>
          </cell>
          <cell r="C51">
            <v>121171760.292236</v>
          </cell>
          <cell r="D51">
            <v>3484030.17138672</v>
          </cell>
          <cell r="E51">
            <v>2.87528229596079</v>
          </cell>
          <cell r="F51">
            <v>117687730.12085</v>
          </cell>
          <cell r="G51">
            <v>97.1247177040392</v>
          </cell>
          <cell r="H51">
            <v>61518209.9918823</v>
          </cell>
          <cell r="I51" t="str">
            <v>GroceryX</v>
          </cell>
          <cell r="J51">
            <v>98.7126607331539</v>
          </cell>
          <cell r="K51">
            <v>791948.073486328</v>
          </cell>
          <cell r="L51">
            <v>3777129.27478027</v>
          </cell>
          <cell r="M51">
            <v>8506426.90653992</v>
          </cell>
          <cell r="N51">
            <v>3777129.27478027</v>
          </cell>
          <cell r="O51">
            <v>42.6773804425814</v>
          </cell>
          <cell r="P51">
            <v>857502.123690399</v>
          </cell>
          <cell r="R51">
            <v>1017625.85098267</v>
          </cell>
          <cell r="S51">
            <v>-50286.655090332</v>
          </cell>
          <cell r="T51">
            <v>-0.0662035238260144</v>
          </cell>
          <cell r="U51">
            <v>1067912.506073</v>
          </cell>
          <cell r="V51">
            <v>0.0662035238260188</v>
          </cell>
          <cell r="W51">
            <v>-1855949.2237854</v>
          </cell>
          <cell r="Y51">
            <v>-0.0137328719499124</v>
          </cell>
          <cell r="Z51">
            <v>-15189.2709960938</v>
          </cell>
          <cell r="AA51">
            <v>-888746.874603271</v>
          </cell>
          <cell r="AB51">
            <v>-1060069.9075489</v>
          </cell>
          <cell r="AC51">
            <v>-888746.874603271</v>
          </cell>
          <cell r="AD51">
            <v>0.531658427880899</v>
          </cell>
        </row>
        <row r="52">
          <cell r="A52" t="str">
            <v>Total US - Giant Food</v>
          </cell>
          <cell r="B52" t="str">
            <v>Total US - GroceryX</v>
          </cell>
          <cell r="C52">
            <v>121171760.292236</v>
          </cell>
          <cell r="D52">
            <v>2725806.11553955</v>
          </cell>
          <cell r="E52">
            <v>2.24953909142327</v>
          </cell>
          <cell r="F52">
            <v>118445954.176697</v>
          </cell>
          <cell r="G52">
            <v>97.7504609085767</v>
          </cell>
          <cell r="H52">
            <v>61518209.9918823</v>
          </cell>
          <cell r="I52" t="str">
            <v>GroceryX</v>
          </cell>
          <cell r="J52">
            <v>99.0953311751817</v>
          </cell>
          <cell r="K52">
            <v>556536.067382813</v>
          </cell>
          <cell r="L52">
            <v>1625432.94543839</v>
          </cell>
          <cell r="M52">
            <v>5089870.39025879</v>
          </cell>
          <cell r="N52">
            <v>1625432.94543839</v>
          </cell>
          <cell r="O52">
            <v>32.6468779674364</v>
          </cell>
          <cell r="P52">
            <v>507499.395550292</v>
          </cell>
          <cell r="R52">
            <v>1017625.85098267</v>
          </cell>
          <cell r="S52">
            <v>61501.5859985352</v>
          </cell>
          <cell r="T52">
            <v>0.0321334716077777</v>
          </cell>
          <cell r="U52">
            <v>956124.264984131</v>
          </cell>
          <cell r="V52">
            <v>-0.0321334716077644</v>
          </cell>
          <cell r="W52">
            <v>-1855949.2237854</v>
          </cell>
          <cell r="Y52">
            <v>0.0570556431278675</v>
          </cell>
          <cell r="Z52">
            <v>-52948.7281494141</v>
          </cell>
          <cell r="AA52">
            <v>-927662.196148872</v>
          </cell>
          <cell r="AB52">
            <v>-1231090.44802856</v>
          </cell>
          <cell r="AC52">
            <v>-927662.196148872</v>
          </cell>
          <cell r="AD52">
            <v>-2.00494538790073</v>
          </cell>
        </row>
        <row r="53">
          <cell r="A53" t="str">
            <v>Total US - Giant Foods</v>
          </cell>
          <cell r="B53" t="str">
            <v>Total US - GroceryX</v>
          </cell>
          <cell r="C53">
            <v>121171760.292236</v>
          </cell>
          <cell r="D53">
            <v>2505863.85321045</v>
          </cell>
          <cell r="E53">
            <v>2.06802628530519</v>
          </cell>
          <cell r="F53">
            <v>118665896.439026</v>
          </cell>
          <cell r="G53">
            <v>97.9319737146948</v>
          </cell>
          <cell r="H53">
            <v>61518209.9918823</v>
          </cell>
          <cell r="I53" t="str">
            <v>GroceryX</v>
          </cell>
          <cell r="J53">
            <v>98.9211454340388</v>
          </cell>
          <cell r="K53">
            <v>663692.01739502</v>
          </cell>
          <cell r="L53">
            <v>3217027.49414063</v>
          </cell>
          <cell r="M53">
            <v>9947258.50901031</v>
          </cell>
          <cell r="N53">
            <v>3217027.49414063</v>
          </cell>
          <cell r="O53">
            <v>48.4130519606612</v>
          </cell>
          <cell r="P53">
            <v>630006.167999049</v>
          </cell>
          <cell r="R53">
            <v>1017625.85098267</v>
          </cell>
          <cell r="S53">
            <v>-50387.8199462891</v>
          </cell>
          <cell r="T53">
            <v>-0.0594507965646378</v>
          </cell>
          <cell r="U53">
            <v>1068013.67092896</v>
          </cell>
          <cell r="V53">
            <v>0.0594507965646329</v>
          </cell>
          <cell r="W53">
            <v>-1855949.2237854</v>
          </cell>
          <cell r="Y53">
            <v>0.0567700413866561</v>
          </cell>
          <cell r="Z53">
            <v>-56000.5293579102</v>
          </cell>
          <cell r="AA53">
            <v>-192516.178344727</v>
          </cell>
          <cell r="AB53">
            <v>-2719272.03514862</v>
          </cell>
          <cell r="AC53">
            <v>-192516.178344727</v>
          </cell>
          <cell r="AD53">
            <v>-1.89220383277169</v>
          </cell>
        </row>
        <row r="54">
          <cell r="A54" t="str">
            <v>Total US - Grocery Outlet</v>
          </cell>
          <cell r="B54" t="str">
            <v>Total US - GroceryX</v>
          </cell>
          <cell r="C54">
            <v>121171760.292236</v>
          </cell>
          <cell r="D54">
            <v>4500823.18206787</v>
          </cell>
          <cell r="E54">
            <v>3.71441594247125</v>
          </cell>
          <cell r="F54">
            <v>116670937.110168</v>
          </cell>
          <cell r="G54">
            <v>96.2855840575288</v>
          </cell>
          <cell r="H54">
            <v>61518209.9918823</v>
          </cell>
          <cell r="I54" t="str">
            <v>GroceryX</v>
          </cell>
          <cell r="J54">
            <v>99.3861154719536</v>
          </cell>
          <cell r="K54">
            <v>377650.773071289</v>
          </cell>
          <cell r="L54">
            <v>1012552.07986069</v>
          </cell>
          <cell r="M54">
            <v>2246791.36231327</v>
          </cell>
          <cell r="N54">
            <v>1012552.07986069</v>
          </cell>
          <cell r="O54">
            <v>17.332888491323</v>
          </cell>
          <cell r="P54">
            <v>445609.830529382</v>
          </cell>
          <cell r="R54">
            <v>1017625.85098267</v>
          </cell>
          <cell r="S54">
            <v>332714.437591553</v>
          </cell>
          <cell r="T54">
            <v>0.245447717733038</v>
          </cell>
          <cell r="U54">
            <v>684911.413391113</v>
          </cell>
          <cell r="V54">
            <v>-0.245447717733043</v>
          </cell>
          <cell r="W54">
            <v>-1855949.2237854</v>
          </cell>
          <cell r="Y54">
            <v>0.00251217265312675</v>
          </cell>
          <cell r="Z54">
            <v>-12985.4534301758</v>
          </cell>
          <cell r="AA54">
            <v>-336407.183200836</v>
          </cell>
          <cell r="AB54">
            <v>-888700.433707237</v>
          </cell>
          <cell r="AC54">
            <v>-336407.183200836</v>
          </cell>
          <cell r="AD54">
            <v>0.349942567596958</v>
          </cell>
        </row>
        <row r="55">
          <cell r="A55" t="str">
            <v>Total US - HEB</v>
          </cell>
          <cell r="B55" t="str">
            <v>Total US - GroceryX</v>
          </cell>
          <cell r="C55">
            <v>121171760.292236</v>
          </cell>
          <cell r="D55">
            <v>5546882.43322754</v>
          </cell>
          <cell r="E55">
            <v>4.5777022796812</v>
          </cell>
          <cell r="F55">
            <v>115624877.859009</v>
          </cell>
          <cell r="G55">
            <v>95.4222977203188</v>
          </cell>
          <cell r="H55">
            <v>61518209.9918823</v>
          </cell>
          <cell r="I55" t="str">
            <v>GroceryX</v>
          </cell>
          <cell r="J55">
            <v>97.4181920555775</v>
          </cell>
          <cell r="K55">
            <v>1588282.03283691</v>
          </cell>
          <cell r="L55">
            <v>5633573.717453</v>
          </cell>
          <cell r="M55">
            <v>29619326.5266037</v>
          </cell>
          <cell r="N55">
            <v>5633573.717453</v>
          </cell>
          <cell r="O55">
            <v>52.1709956377874</v>
          </cell>
          <cell r="P55">
            <v>1408834.55843545</v>
          </cell>
          <cell r="R55">
            <v>1017625.85098267</v>
          </cell>
          <cell r="S55">
            <v>144292.651489258</v>
          </cell>
          <cell r="T55">
            <v>0.0813195235973927</v>
          </cell>
          <cell r="U55">
            <v>873333.199493408</v>
          </cell>
          <cell r="V55">
            <v>-0.0813195235974007</v>
          </cell>
          <cell r="W55">
            <v>-1855949.2237854</v>
          </cell>
          <cell r="Y55">
            <v>-0.0903079991884539</v>
          </cell>
          <cell r="Z55">
            <v>9314.89068603516</v>
          </cell>
          <cell r="AA55">
            <v>-4130841.30082703</v>
          </cell>
          <cell r="AB55">
            <v>6233199.7734642</v>
          </cell>
          <cell r="AC55">
            <v>-4130841.30082703</v>
          </cell>
          <cell r="AD55">
            <v>-0.174083014193393</v>
          </cell>
        </row>
        <row r="56">
          <cell r="A56" t="str">
            <v>Total US - Hannaford</v>
          </cell>
          <cell r="B56" t="str">
            <v>Total US - GroceryX</v>
          </cell>
          <cell r="C56">
            <v>121171760.292236</v>
          </cell>
          <cell r="D56">
            <v>2313984.74816895</v>
          </cell>
          <cell r="E56">
            <v>1.90967329564924</v>
          </cell>
          <cell r="F56">
            <v>118857775.544067</v>
          </cell>
          <cell r="G56">
            <v>98.0903267043508</v>
          </cell>
          <cell r="H56">
            <v>61518209.9918823</v>
          </cell>
          <cell r="I56" t="str">
            <v>GroceryX</v>
          </cell>
          <cell r="J56">
            <v>99.642669671779</v>
          </cell>
          <cell r="K56">
            <v>219823.221679688</v>
          </cell>
          <cell r="M56">
            <v>2200463.74072266</v>
          </cell>
          <cell r="O56">
            <v>24.8452581845429</v>
          </cell>
          <cell r="P56">
            <v>362372.797912978</v>
          </cell>
          <cell r="R56">
            <v>1017625.85098267</v>
          </cell>
          <cell r="S56">
            <v>-81540.4313354492</v>
          </cell>
          <cell r="T56">
            <v>-0.0840368589319387</v>
          </cell>
          <cell r="U56">
            <v>1099166.28231812</v>
          </cell>
          <cell r="V56">
            <v>0.0840368589319382</v>
          </cell>
          <cell r="W56">
            <v>-1855949.2237854</v>
          </cell>
          <cell r="Y56">
            <v>0.0745456981033641</v>
          </cell>
          <cell r="Z56">
            <v>-53874.5788574219</v>
          </cell>
          <cell r="AB56">
            <v>158511.325061798</v>
          </cell>
          <cell r="AD56">
            <v>-0.0108470267119571</v>
          </cell>
        </row>
        <row r="57">
          <cell r="A57" t="str">
            <v>Total US - Harris Teeter</v>
          </cell>
          <cell r="B57" t="str">
            <v>Total US - GroceryX</v>
          </cell>
          <cell r="C57">
            <v>121171760.292236</v>
          </cell>
          <cell r="D57">
            <v>3629198.23297119</v>
          </cell>
          <cell r="E57">
            <v>2.99508583866279</v>
          </cell>
          <cell r="F57">
            <v>117542562.059265</v>
          </cell>
          <cell r="G57">
            <v>97.0049141613372</v>
          </cell>
          <cell r="H57">
            <v>61518209.9918823</v>
          </cell>
          <cell r="I57" t="str">
            <v>GroceryX</v>
          </cell>
          <cell r="J57">
            <v>98.7143448407329</v>
          </cell>
          <cell r="K57">
            <v>790912.040649414</v>
          </cell>
          <cell r="L57">
            <v>3025774.49697876</v>
          </cell>
          <cell r="M57">
            <v>9557434.60745239</v>
          </cell>
          <cell r="N57">
            <v>3025774.49697876</v>
          </cell>
          <cell r="O57">
            <v>35.0812408589327</v>
          </cell>
          <cell r="P57">
            <v>906384.188359792</v>
          </cell>
          <cell r="R57">
            <v>1017625.85098267</v>
          </cell>
          <cell r="S57">
            <v>-33519.8814086914</v>
          </cell>
          <cell r="T57">
            <v>-0.0532637927605686</v>
          </cell>
          <cell r="U57">
            <v>1051145.73239136</v>
          </cell>
          <cell r="V57">
            <v>0.0532637927605748</v>
          </cell>
          <cell r="W57">
            <v>-1855949.2237854</v>
          </cell>
          <cell r="Y57">
            <v>0.331817523034346</v>
          </cell>
          <cell r="Z57">
            <v>-234147.672302246</v>
          </cell>
          <cell r="AA57">
            <v>-2493205.2724762</v>
          </cell>
          <cell r="AB57">
            <v>-4219328.19812965</v>
          </cell>
          <cell r="AC57">
            <v>-2493205.2724762</v>
          </cell>
          <cell r="AD57">
            <v>-6.14414928220185</v>
          </cell>
        </row>
        <row r="58">
          <cell r="A58" t="str">
            <v>Total US - Hy Vee</v>
          </cell>
          <cell r="B58" t="str">
            <v>Total US - GroceryX</v>
          </cell>
          <cell r="C58">
            <v>121171760.292236</v>
          </cell>
          <cell r="D58">
            <v>4025455.64093018</v>
          </cell>
          <cell r="E58">
            <v>3.32210709097712</v>
          </cell>
          <cell r="F58">
            <v>117146304.651306</v>
          </cell>
          <cell r="G58">
            <v>96.6778929090229</v>
          </cell>
          <cell r="H58">
            <v>61518209.9918823</v>
          </cell>
          <cell r="I58" t="str">
            <v>GroceryX</v>
          </cell>
          <cell r="J58">
            <v>98.8007380619261</v>
          </cell>
          <cell r="K58">
            <v>737764.477416992</v>
          </cell>
          <cell r="L58">
            <v>2732599.72670937</v>
          </cell>
          <cell r="M58">
            <v>7831112.85582352</v>
          </cell>
          <cell r="N58">
            <v>2732599.72670937</v>
          </cell>
          <cell r="O58">
            <v>34.1786277042415</v>
          </cell>
          <cell r="P58">
            <v>745088.180940713</v>
          </cell>
          <cell r="R58">
            <v>1017625.85098267</v>
          </cell>
          <cell r="S58">
            <v>99814.1549987793</v>
          </cell>
          <cell r="T58">
            <v>0.0549357163202235</v>
          </cell>
          <cell r="U58">
            <v>917811.695983887</v>
          </cell>
          <cell r="V58">
            <v>-0.054935716320216</v>
          </cell>
          <cell r="W58">
            <v>-1855949.2237854</v>
          </cell>
          <cell r="Y58">
            <v>0.198036092336295</v>
          </cell>
          <cell r="Z58">
            <v>-147761.401092529</v>
          </cell>
          <cell r="AA58">
            <v>-1122718.6492672</v>
          </cell>
          <cell r="AB58">
            <v>-2957644.71671677</v>
          </cell>
          <cell r="AC58">
            <v>-1122718.6492672</v>
          </cell>
          <cell r="AD58">
            <v>-4.15804944131837</v>
          </cell>
        </row>
        <row r="59">
          <cell r="A59" t="str">
            <v>Total US - IGA</v>
          </cell>
          <cell r="B59" t="str">
            <v>Total US - GroceryX</v>
          </cell>
          <cell r="C59">
            <v>121171760.292236</v>
          </cell>
          <cell r="D59">
            <v>3742891.87548828</v>
          </cell>
          <cell r="E59">
            <v>3.08891433652639</v>
          </cell>
          <cell r="F59">
            <v>117428868.416748</v>
          </cell>
          <cell r="G59">
            <v>96.9110856634736</v>
          </cell>
          <cell r="H59">
            <v>61518209.9918823</v>
          </cell>
          <cell r="I59" t="str">
            <v>GroceryX</v>
          </cell>
          <cell r="J59">
            <v>99.7857376541342</v>
          </cell>
          <cell r="K59">
            <v>131810.359863281</v>
          </cell>
          <cell r="M59">
            <v>1545643.74975586</v>
          </cell>
          <cell r="O59">
            <v>15.1571181912986</v>
          </cell>
          <cell r="P59">
            <v>377000.322038612</v>
          </cell>
          <cell r="R59">
            <v>1017625.85098267</v>
          </cell>
          <cell r="S59">
            <v>-198431.645935059</v>
          </cell>
          <cell r="T59">
            <v>-0.191308636866464</v>
          </cell>
          <cell r="U59">
            <v>1216057.49691772</v>
          </cell>
          <cell r="V59">
            <v>0.191308636866466</v>
          </cell>
          <cell r="W59">
            <v>-1855949.2237854</v>
          </cell>
          <cell r="Y59">
            <v>0.0277569425100239</v>
          </cell>
          <cell r="Z59">
            <v>-21567.329284668</v>
          </cell>
          <cell r="AB59">
            <v>174176.504585266</v>
          </cell>
          <cell r="AD59">
            <v>2.41589858130165</v>
          </cell>
        </row>
        <row r="60">
          <cell r="A60" t="str">
            <v>Total US - Ingles</v>
          </cell>
          <cell r="B60" t="str">
            <v>Total US - GroceryX</v>
          </cell>
          <cell r="C60">
            <v>121171760.292236</v>
          </cell>
          <cell r="D60">
            <v>1800848.00463867</v>
          </cell>
          <cell r="E60">
            <v>1.48619447327948</v>
          </cell>
          <cell r="F60">
            <v>119370912.287598</v>
          </cell>
          <cell r="G60">
            <v>98.5138055267205</v>
          </cell>
          <cell r="H60">
            <v>61518209.9918823</v>
          </cell>
          <cell r="I60" t="str">
            <v>GroceryX</v>
          </cell>
          <cell r="J60">
            <v>99.7114125873131</v>
          </cell>
          <cell r="K60">
            <v>177533.810546875</v>
          </cell>
          <cell r="M60">
            <v>1722219.08666992</v>
          </cell>
          <cell r="O60">
            <v>26.2376176963178</v>
          </cell>
          <cell r="P60">
            <v>240553.279521168</v>
          </cell>
          <cell r="R60">
            <v>1017625.85098267</v>
          </cell>
          <cell r="S60">
            <v>-72288.3602294922</v>
          </cell>
          <cell r="T60">
            <v>-0.072750105347559</v>
          </cell>
          <cell r="U60">
            <v>1089914.21121216</v>
          </cell>
          <cell r="V60">
            <v>0.0727501053475521</v>
          </cell>
          <cell r="W60">
            <v>-1855949.2237854</v>
          </cell>
          <cell r="Y60">
            <v>0.064924990888116</v>
          </cell>
          <cell r="Z60">
            <v>-46501.7029418945</v>
          </cell>
          <cell r="AB60">
            <v>-510002.31539917</v>
          </cell>
          <cell r="AD60">
            <v>-2.75342419270258</v>
          </cell>
        </row>
        <row r="61">
          <cell r="A61" t="str">
            <v>Total US - Jewel</v>
          </cell>
          <cell r="B61" t="str">
            <v>Total US - GroceryX</v>
          </cell>
          <cell r="C61">
            <v>121171760.292236</v>
          </cell>
          <cell r="D61">
            <v>3058066.26049805</v>
          </cell>
          <cell r="E61">
            <v>2.52374501544151</v>
          </cell>
          <cell r="F61">
            <v>118113694.031738</v>
          </cell>
          <cell r="G61">
            <v>97.4762549845585</v>
          </cell>
          <cell r="H61">
            <v>61518209.9918823</v>
          </cell>
          <cell r="I61" t="str">
            <v>GroceryX</v>
          </cell>
          <cell r="J61">
            <v>98.9241067991514</v>
          </cell>
          <cell r="K61">
            <v>661870.238586426</v>
          </cell>
          <cell r="L61">
            <v>3738478.30619812</v>
          </cell>
          <cell r="M61">
            <v>5374722.99682617</v>
          </cell>
          <cell r="N61">
            <v>3738478.30619812</v>
          </cell>
          <cell r="O61">
            <v>31.8681595173164</v>
          </cell>
          <cell r="P61">
            <v>587621.90018539</v>
          </cell>
          <cell r="R61">
            <v>1017625.85098267</v>
          </cell>
          <cell r="S61">
            <v>-66055.815032959</v>
          </cell>
          <cell r="T61">
            <v>-0.0763503454538483</v>
          </cell>
          <cell r="U61">
            <v>1083681.66601563</v>
          </cell>
          <cell r="V61">
            <v>0.0763503454538466</v>
          </cell>
          <cell r="W61">
            <v>-1855949.2237854</v>
          </cell>
          <cell r="Y61">
            <v>-0.118880025297187</v>
          </cell>
          <cell r="Z61">
            <v>55371.1849975586</v>
          </cell>
          <cell r="AA61">
            <v>692444.35824585</v>
          </cell>
          <cell r="AB61">
            <v>991684.990919113</v>
          </cell>
          <cell r="AC61">
            <v>692444.35824585</v>
          </cell>
          <cell r="AD61">
            <v>2.89670873116464</v>
          </cell>
        </row>
        <row r="62">
          <cell r="A62" t="str">
            <v>Total US - King Soopers</v>
          </cell>
          <cell r="B62" t="str">
            <v>Total US - GroceryX</v>
          </cell>
          <cell r="C62">
            <v>121171760.292236</v>
          </cell>
          <cell r="D62">
            <v>1794326.19552612</v>
          </cell>
          <cell r="E62">
            <v>1.48081218858144</v>
          </cell>
          <cell r="F62">
            <v>119377434.09671</v>
          </cell>
          <cell r="G62">
            <v>98.5191878114186</v>
          </cell>
          <cell r="H62">
            <v>61518209.9918823</v>
          </cell>
          <cell r="I62" t="str">
            <v>GroceryX</v>
          </cell>
          <cell r="J62">
            <v>99.0207312890277</v>
          </cell>
          <cell r="K62">
            <v>602428.582000732</v>
          </cell>
          <cell r="L62">
            <v>2070869.37606812</v>
          </cell>
          <cell r="M62">
            <v>8609814.06231689</v>
          </cell>
          <cell r="N62">
            <v>2070869.37606812</v>
          </cell>
          <cell r="O62">
            <v>52.0372609580835</v>
          </cell>
          <cell r="P62">
            <v>457219.347561464</v>
          </cell>
          <cell r="R62">
            <v>1017625.85098267</v>
          </cell>
          <cell r="S62">
            <v>21374.9187316895</v>
          </cell>
          <cell r="T62">
            <v>0.00524808499142049</v>
          </cell>
          <cell r="U62">
            <v>996250.932250977</v>
          </cell>
          <cell r="V62">
            <v>-0.00524808499142182</v>
          </cell>
          <cell r="W62">
            <v>-1855949.2237854</v>
          </cell>
          <cell r="Y62">
            <v>-0.0137849198530802</v>
          </cell>
          <cell r="Z62">
            <v>-9438.65298461914</v>
          </cell>
          <cell r="AA62">
            <v>-18379.921661377</v>
          </cell>
          <cell r="AB62">
            <v>-977767.257957459</v>
          </cell>
          <cell r="AC62">
            <v>-18379.921661377</v>
          </cell>
          <cell r="AD62">
            <v>1.44171553125543</v>
          </cell>
        </row>
        <row r="63">
          <cell r="A63" t="str">
            <v>Total US - Kroger</v>
          </cell>
          <cell r="B63" t="str">
            <v>Total US - GroceryX</v>
          </cell>
          <cell r="C63">
            <v>121171760.292236</v>
          </cell>
          <cell r="D63">
            <v>22081055.505249</v>
          </cell>
          <cell r="E63">
            <v>18.2229386219982</v>
          </cell>
          <cell r="F63">
            <v>99090704.7869873</v>
          </cell>
          <cell r="G63">
            <v>81.7770613780018</v>
          </cell>
          <cell r="H63">
            <v>61518209.9918823</v>
          </cell>
          <cell r="I63" t="str">
            <v>GroceryX</v>
          </cell>
          <cell r="J63">
            <v>91.4510599369204</v>
          </cell>
          <cell r="K63">
            <v>5259154.90008545</v>
          </cell>
          <cell r="L63">
            <v>22926351.3529587</v>
          </cell>
          <cell r="M63">
            <v>83222188.1612549</v>
          </cell>
          <cell r="N63">
            <v>22926351.3529587</v>
          </cell>
          <cell r="O63">
            <v>48.6957007285124</v>
          </cell>
          <cell r="P63">
            <v>5872151.84951508</v>
          </cell>
          <cell r="R63">
            <v>1017625.85098267</v>
          </cell>
          <cell r="S63">
            <v>276035.086456299</v>
          </cell>
          <cell r="T63">
            <v>0.0753979483531033</v>
          </cell>
          <cell r="U63">
            <v>741590.764526367</v>
          </cell>
          <cell r="V63">
            <v>-0.075397948353114</v>
          </cell>
          <cell r="W63">
            <v>-1855949.2237854</v>
          </cell>
          <cell r="Y63">
            <v>0.412823983990506</v>
          </cell>
          <cell r="Z63">
            <v>-420287.715637207</v>
          </cell>
          <cell r="AA63">
            <v>-1945623.10754395</v>
          </cell>
          <cell r="AB63">
            <v>2201230.40841293</v>
          </cell>
          <cell r="AC63">
            <v>-1945623.10754395</v>
          </cell>
          <cell r="AD63">
            <v>0.156396007928372</v>
          </cell>
        </row>
        <row r="64">
          <cell r="A64" t="str">
            <v>Total US - Lowes Foods</v>
          </cell>
          <cell r="B64" t="str">
            <v>Total US - GroceryX</v>
          </cell>
          <cell r="C64">
            <v>121171760.292236</v>
          </cell>
          <cell r="D64">
            <v>1150707.55633545</v>
          </cell>
          <cell r="E64">
            <v>0.949649946126249</v>
          </cell>
          <cell r="F64">
            <v>120021052.735901</v>
          </cell>
          <cell r="G64">
            <v>99.0503500538738</v>
          </cell>
          <cell r="H64">
            <v>61518209.9918823</v>
          </cell>
          <cell r="I64" t="str">
            <v>GroceryX</v>
          </cell>
          <cell r="J64">
            <v>99.7942504044275</v>
          </cell>
          <cell r="K64">
            <v>126573.468261719</v>
          </cell>
          <cell r="M64">
            <v>1091503.8414917</v>
          </cell>
          <cell r="O64">
            <v>18.1281962143621</v>
          </cell>
          <cell r="P64">
            <v>175502.491603972</v>
          </cell>
          <cell r="R64">
            <v>1017625.85098267</v>
          </cell>
          <cell r="S64">
            <v>-102782.184020996</v>
          </cell>
          <cell r="T64">
            <v>-0.0935848507332032</v>
          </cell>
          <cell r="U64">
            <v>1120408.03500366</v>
          </cell>
          <cell r="V64">
            <v>0.0935848507332082</v>
          </cell>
          <cell r="W64">
            <v>-1855949.2237854</v>
          </cell>
          <cell r="Y64">
            <v>0.0900366407487496</v>
          </cell>
          <cell r="Z64">
            <v>-60878.5720825195</v>
          </cell>
          <cell r="AB64">
            <v>-618862.680862427</v>
          </cell>
          <cell r="AD64">
            <v>-5.72768875969456</v>
          </cell>
        </row>
        <row r="65">
          <cell r="A65" t="str">
            <v>Total US - Lucky</v>
          </cell>
          <cell r="B65" t="str">
            <v>Total US - GroceryX</v>
          </cell>
          <cell r="C65">
            <v>121171760.292236</v>
          </cell>
          <cell r="D65">
            <v>1319223.22045898</v>
          </cell>
          <cell r="E65">
            <v>1.08872167679775</v>
          </cell>
          <cell r="F65">
            <v>119852537.071777</v>
          </cell>
          <cell r="G65">
            <v>98.9112783232023</v>
          </cell>
          <cell r="H65">
            <v>61518209.9918823</v>
          </cell>
          <cell r="I65" t="str">
            <v>GroceryX</v>
          </cell>
          <cell r="J65">
            <v>99.8143289726607</v>
          </cell>
          <cell r="K65">
            <v>114221.492492676</v>
          </cell>
          <cell r="O65">
            <v>13.4489599404399</v>
          </cell>
          <cell r="P65">
            <v>182816.673843728</v>
          </cell>
          <cell r="R65">
            <v>1017625.85098267</v>
          </cell>
          <cell r="S65">
            <v>-67417.1033325195</v>
          </cell>
          <cell r="T65">
            <v>-0.0653296009545508</v>
          </cell>
          <cell r="U65">
            <v>1085042.95431519</v>
          </cell>
          <cell r="V65">
            <v>0.0653296009545556</v>
          </cell>
          <cell r="W65">
            <v>-1855949.2237854</v>
          </cell>
          <cell r="AD65">
            <v>0.913176076547952</v>
          </cell>
        </row>
        <row r="66">
          <cell r="A66" t="str">
            <v>Total US - Market Basket</v>
          </cell>
          <cell r="B66" t="str">
            <v>Total US - GroceryX</v>
          </cell>
          <cell r="C66">
            <v>121171760.292236</v>
          </cell>
          <cell r="D66">
            <v>2081802.48309326</v>
          </cell>
          <cell r="E66">
            <v>1.71805912373681</v>
          </cell>
          <cell r="F66">
            <v>119089957.809143</v>
          </cell>
          <cell r="G66">
            <v>98.2819408762632</v>
          </cell>
          <cell r="H66">
            <v>61518209.9918823</v>
          </cell>
          <cell r="I66" t="str">
            <v>GroceryX</v>
          </cell>
          <cell r="J66">
            <v>99.2256405835886</v>
          </cell>
          <cell r="K66">
            <v>476372.051879883</v>
          </cell>
          <cell r="L66">
            <v>1385682.6361084</v>
          </cell>
          <cell r="M66">
            <v>6012985.16426086</v>
          </cell>
          <cell r="N66">
            <v>1385682.6361084</v>
          </cell>
          <cell r="O66">
            <v>48.4304515905157</v>
          </cell>
          <cell r="P66">
            <v>370515.367628388</v>
          </cell>
          <cell r="R66">
            <v>1017625.85098267</v>
          </cell>
          <cell r="S66">
            <v>149725.236450195</v>
          </cell>
          <cell r="T66">
            <v>0.110060151726647</v>
          </cell>
          <cell r="U66">
            <v>867900.614532471</v>
          </cell>
          <cell r="V66">
            <v>-0.110060151726643</v>
          </cell>
          <cell r="W66">
            <v>-1855949.2237854</v>
          </cell>
          <cell r="Y66">
            <v>-0.0770061784160703</v>
          </cell>
          <cell r="Z66">
            <v>34430.3005371094</v>
          </cell>
          <cell r="AA66">
            <v>354221.948272705</v>
          </cell>
          <cell r="AB66">
            <v>654434.252029419</v>
          </cell>
          <cell r="AC66">
            <v>354221.948272705</v>
          </cell>
          <cell r="AD66">
            <v>1.88206585250754</v>
          </cell>
        </row>
        <row r="67">
          <cell r="A67" t="str">
            <v>Total US - Meijer</v>
          </cell>
          <cell r="B67" t="str">
            <v>Total US - GroceryX</v>
          </cell>
          <cell r="C67">
            <v>121171760.292236</v>
          </cell>
          <cell r="D67">
            <v>8847363.53125</v>
          </cell>
          <cell r="E67">
            <v>7.30150615119591</v>
          </cell>
          <cell r="F67">
            <v>112324396.760986</v>
          </cell>
          <cell r="G67">
            <v>92.6984938488041</v>
          </cell>
          <cell r="H67">
            <v>61518209.9918823</v>
          </cell>
          <cell r="I67" t="str">
            <v>GroceryX</v>
          </cell>
          <cell r="J67">
            <v>96.2312418395951</v>
          </cell>
          <cell r="K67">
            <v>2318472.5592041</v>
          </cell>
          <cell r="L67">
            <v>7389159.6093235</v>
          </cell>
          <cell r="M67">
            <v>40020620.4944992</v>
          </cell>
          <cell r="N67">
            <v>7389159.6093235</v>
          </cell>
          <cell r="O67">
            <v>50.4801711630131</v>
          </cell>
          <cell r="P67">
            <v>2606774.49050178</v>
          </cell>
          <cell r="R67">
            <v>1017625.85098267</v>
          </cell>
          <cell r="S67">
            <v>244799.751068115</v>
          </cell>
          <cell r="T67">
            <v>0.141899184539351</v>
          </cell>
          <cell r="U67">
            <v>772826.099914551</v>
          </cell>
          <cell r="V67">
            <v>-0.141899184539355</v>
          </cell>
          <cell r="W67">
            <v>-1855949.2237854</v>
          </cell>
          <cell r="Y67">
            <v>-0.0807737373478972</v>
          </cell>
          <cell r="Z67">
            <v>-18756.5609130859</v>
          </cell>
          <cell r="AA67">
            <v>-2414952.22364712</v>
          </cell>
          <cell r="AB67">
            <v>928403.112075806</v>
          </cell>
          <cell r="AC67">
            <v>-2414952.22364712</v>
          </cell>
          <cell r="AD67">
            <v>1.078088069378</v>
          </cell>
        </row>
        <row r="68">
          <cell r="A68" t="str">
            <v>Total US - Pathmark</v>
          </cell>
          <cell r="B68" t="str">
            <v>Total US - GroceryX</v>
          </cell>
          <cell r="C68">
            <v>121171760.292236</v>
          </cell>
          <cell r="D68">
            <v>2564329.57525635</v>
          </cell>
          <cell r="E68">
            <v>2.11627657225728</v>
          </cell>
          <cell r="F68">
            <v>118607430.71698</v>
          </cell>
          <cell r="G68">
            <v>97.8837234277427</v>
          </cell>
          <cell r="H68">
            <v>61518209.9918823</v>
          </cell>
          <cell r="I68" t="str">
            <v>GroceryX</v>
          </cell>
          <cell r="J68">
            <v>99.4731160483238</v>
          </cell>
          <cell r="K68">
            <v>324129.575805664</v>
          </cell>
          <cell r="M68">
            <v>4924483.23010254</v>
          </cell>
          <cell r="O68">
            <v>25.5932993439886</v>
          </cell>
          <cell r="P68">
            <v>488154.856718512</v>
          </cell>
          <cell r="R68">
            <v>1017625.85098267</v>
          </cell>
          <cell r="S68">
            <v>-363827.277893066</v>
          </cell>
          <cell r="T68">
            <v>-0.320723924451439</v>
          </cell>
          <cell r="U68">
            <v>1381453.12887573</v>
          </cell>
          <cell r="V68">
            <v>0.320723924451443</v>
          </cell>
          <cell r="W68">
            <v>-1855949.2237854</v>
          </cell>
          <cell r="Y68">
            <v>0.121595842798243</v>
          </cell>
          <cell r="Z68">
            <v>-86839.0416259766</v>
          </cell>
          <cell r="AB68">
            <v>-2800038.25487518</v>
          </cell>
          <cell r="AD68">
            <v>-5.73579781253524</v>
          </cell>
        </row>
        <row r="69">
          <cell r="A69" t="str">
            <v>Total US - Pick N Save</v>
          </cell>
          <cell r="B69" t="str">
            <v>Total US - GroceryX</v>
          </cell>
          <cell r="C69">
            <v>121171760.292236</v>
          </cell>
          <cell r="D69">
            <v>1156001.49047852</v>
          </cell>
          <cell r="E69">
            <v>0.954018896556859</v>
          </cell>
          <cell r="F69">
            <v>120015758.801758</v>
          </cell>
          <cell r="G69">
            <v>99.0459811034431</v>
          </cell>
          <cell r="H69">
            <v>61518209.9918823</v>
          </cell>
          <cell r="I69" t="str">
            <v>GroceryX</v>
          </cell>
          <cell r="J69">
            <v>99.6051197772806</v>
          </cell>
          <cell r="K69">
            <v>242923.244628906</v>
          </cell>
          <cell r="M69">
            <v>2941151.47918701</v>
          </cell>
          <cell r="O69">
            <v>35.394167054273</v>
          </cell>
          <cell r="P69">
            <v>229689.572610307</v>
          </cell>
          <cell r="R69">
            <v>1017625.85098267</v>
          </cell>
          <cell r="S69">
            <v>-67347.1894836426</v>
          </cell>
          <cell r="T69">
            <v>-0.06413057091759</v>
          </cell>
          <cell r="U69">
            <v>1084973.04046631</v>
          </cell>
          <cell r="V69">
            <v>0.0641305709175839</v>
          </cell>
          <cell r="W69">
            <v>-1855949.2237854</v>
          </cell>
          <cell r="Y69">
            <v>0.00889717611822505</v>
          </cell>
          <cell r="Z69">
            <v>-12967.2869873047</v>
          </cell>
          <cell r="AB69">
            <v>218870.694458008</v>
          </cell>
          <cell r="AD69">
            <v>-1.2537410776039</v>
          </cell>
        </row>
        <row r="70">
          <cell r="A70" t="str">
            <v>Total US - Piggly Wiggly</v>
          </cell>
          <cell r="B70" t="str">
            <v>Total US - GroceryX</v>
          </cell>
          <cell r="C70">
            <v>121171760.292236</v>
          </cell>
          <cell r="D70">
            <v>3273275.59637451</v>
          </cell>
          <cell r="E70">
            <v>2.70135185663737</v>
          </cell>
          <cell r="F70">
            <v>117898484.695862</v>
          </cell>
          <cell r="G70">
            <v>97.2986481433626</v>
          </cell>
          <cell r="H70">
            <v>61518209.9918823</v>
          </cell>
          <cell r="I70" t="str">
            <v>GroceryX</v>
          </cell>
          <cell r="J70">
            <v>99.6147765897626</v>
          </cell>
          <cell r="K70">
            <v>236982.546447754</v>
          </cell>
          <cell r="M70">
            <v>2470128.81488037</v>
          </cell>
          <cell r="O70">
            <v>18.1297494549732</v>
          </cell>
          <cell r="P70">
            <v>369053.094971839</v>
          </cell>
          <cell r="R70">
            <v>1017625.85098267</v>
          </cell>
          <cell r="S70">
            <v>-115347.588775635</v>
          </cell>
          <cell r="T70">
            <v>-0.118878342604693</v>
          </cell>
          <cell r="U70">
            <v>1132973.4397583</v>
          </cell>
          <cell r="V70">
            <v>0.118878342604688</v>
          </cell>
          <cell r="W70">
            <v>-1855949.2237854</v>
          </cell>
          <cell r="Y70">
            <v>-0.02454899421204</v>
          </cell>
          <cell r="Z70">
            <v>8408.16778564453</v>
          </cell>
          <cell r="AB70">
            <v>-569386.783935547</v>
          </cell>
          <cell r="AD70">
            <v>0.747887436503316</v>
          </cell>
        </row>
        <row r="71">
          <cell r="A71" t="str">
            <v>Total US - Price Chopper</v>
          </cell>
          <cell r="B71" t="str">
            <v>Total US - GroceryX</v>
          </cell>
          <cell r="C71">
            <v>121171760.292236</v>
          </cell>
          <cell r="D71">
            <v>2056375.40771484</v>
          </cell>
          <cell r="E71">
            <v>1.69707479923984</v>
          </cell>
          <cell r="F71">
            <v>119115384.884521</v>
          </cell>
          <cell r="G71">
            <v>98.3029252007602</v>
          </cell>
          <cell r="H71">
            <v>61518209.9918823</v>
          </cell>
          <cell r="I71" t="str">
            <v>GroceryX</v>
          </cell>
          <cell r="J71">
            <v>99.267635421736</v>
          </cell>
          <cell r="K71">
            <v>450537.579162598</v>
          </cell>
          <cell r="L71">
            <v>1769158.40209961</v>
          </cell>
          <cell r="M71">
            <v>7302698.63381958</v>
          </cell>
          <cell r="N71">
            <v>1769158.40209961</v>
          </cell>
          <cell r="O71">
            <v>46.3361039975683</v>
          </cell>
          <cell r="P71">
            <v>540596.052116878</v>
          </cell>
          <cell r="R71">
            <v>1017625.85098267</v>
          </cell>
          <cell r="S71">
            <v>-90622.0295410156</v>
          </cell>
          <cell r="T71">
            <v>-0.0897945808609222</v>
          </cell>
          <cell r="U71">
            <v>1108247.88052368</v>
          </cell>
          <cell r="V71">
            <v>0.0897945808609251</v>
          </cell>
          <cell r="W71">
            <v>-1855949.2237854</v>
          </cell>
          <cell r="Y71">
            <v>0.0456949391651023</v>
          </cell>
          <cell r="Z71">
            <v>-42551.0982055664</v>
          </cell>
          <cell r="AA71">
            <v>-160526.488998413</v>
          </cell>
          <cell r="AB71">
            <v>-1303046.68374634</v>
          </cell>
          <cell r="AC71">
            <v>-160526.488998413</v>
          </cell>
          <cell r="AD71">
            <v>0.434546600626355</v>
          </cell>
        </row>
        <row r="72">
          <cell r="A72" t="str">
            <v>Total US - Price Rite</v>
          </cell>
          <cell r="B72" t="str">
            <v>Total US - GroceryX</v>
          </cell>
          <cell r="C72">
            <v>121171760.292236</v>
          </cell>
          <cell r="D72">
            <v>1369646.6583252</v>
          </cell>
          <cell r="E72">
            <v>1.13033486929788</v>
          </cell>
          <cell r="F72">
            <v>119802113.633911</v>
          </cell>
          <cell r="G72">
            <v>98.8696651307021</v>
          </cell>
          <cell r="H72">
            <v>61518209.9918823</v>
          </cell>
          <cell r="I72" t="str">
            <v>GroceryX</v>
          </cell>
          <cell r="J72">
            <v>99.7959341211003</v>
          </cell>
          <cell r="K72">
            <v>125537.67590332</v>
          </cell>
          <cell r="M72">
            <v>1395901.42642212</v>
          </cell>
          <cell r="O72">
            <v>17.9204571732659</v>
          </cell>
          <cell r="P72">
            <v>147086.607635371</v>
          </cell>
          <cell r="R72">
            <v>1017625.85098267</v>
          </cell>
          <cell r="S72">
            <v>41235.4440307617</v>
          </cell>
          <cell r="T72">
            <v>0.0247456022519577</v>
          </cell>
          <cell r="U72">
            <v>976390.406951904</v>
          </cell>
          <cell r="V72">
            <v>-0.0247456022519543</v>
          </cell>
          <cell r="W72">
            <v>-1855949.2237854</v>
          </cell>
          <cell r="Y72">
            <v>-0.0207428457485861</v>
          </cell>
          <cell r="Z72">
            <v>9358.24499511719</v>
          </cell>
          <cell r="AB72">
            <v>-16527.7809753418</v>
          </cell>
          <cell r="AD72">
            <v>1.17430084585494</v>
          </cell>
        </row>
        <row r="73">
          <cell r="A73" t="str">
            <v>Total US - Publix</v>
          </cell>
          <cell r="B73" t="str">
            <v>Total US - GroceryX</v>
          </cell>
          <cell r="C73">
            <v>121171760.292236</v>
          </cell>
          <cell r="D73">
            <v>12929791.3328857</v>
          </cell>
          <cell r="E73">
            <v>10.6706309305917</v>
          </cell>
          <cell r="F73">
            <v>108241968.959351</v>
          </cell>
          <cell r="G73">
            <v>89.3293690694083</v>
          </cell>
          <cell r="H73">
            <v>61518209.9918823</v>
          </cell>
          <cell r="I73" t="str">
            <v>GroceryX</v>
          </cell>
          <cell r="J73">
            <v>95.0915679034686</v>
          </cell>
          <cell r="K73">
            <v>3019579.56445313</v>
          </cell>
          <cell r="L73">
            <v>15398053.1525726</v>
          </cell>
          <cell r="M73">
            <v>36898890.1630096</v>
          </cell>
          <cell r="N73">
            <v>15398053.1525726</v>
          </cell>
          <cell r="O73">
            <v>39.2243174892472</v>
          </cell>
          <cell r="P73">
            <v>3206919.90371588</v>
          </cell>
          <cell r="R73">
            <v>1017625.85098267</v>
          </cell>
          <cell r="S73">
            <v>294026.784301758</v>
          </cell>
          <cell r="T73">
            <v>0.15433483529422</v>
          </cell>
          <cell r="U73">
            <v>723599.066680908</v>
          </cell>
          <cell r="V73">
            <v>-0.154334835294222</v>
          </cell>
          <cell r="W73">
            <v>-1855949.2237854</v>
          </cell>
          <cell r="Y73">
            <v>0.226861907030994</v>
          </cell>
          <cell r="Z73">
            <v>-234869.833557129</v>
          </cell>
          <cell r="AA73">
            <v>-2606138.7497406</v>
          </cell>
          <cell r="AB73">
            <v>-9306202.35374069</v>
          </cell>
          <cell r="AC73">
            <v>-2606138.7497406</v>
          </cell>
          <cell r="AD73">
            <v>-2.50588499336138</v>
          </cell>
        </row>
        <row r="74">
          <cell r="A74" t="str">
            <v>Total US - Rainbow</v>
          </cell>
          <cell r="B74" t="str">
            <v>Total US - GroceryX</v>
          </cell>
          <cell r="C74">
            <v>121171760.292236</v>
          </cell>
          <cell r="H74">
            <v>61518209.9918823</v>
          </cell>
          <cell r="I74" t="str">
            <v>GroceryX</v>
          </cell>
          <cell r="R74">
            <v>1017625.85098267</v>
          </cell>
          <cell r="W74">
            <v>-1855949.2237854</v>
          </cell>
        </row>
        <row r="75">
          <cell r="A75" t="str">
            <v>Total US - Raleys</v>
          </cell>
          <cell r="B75" t="str">
            <v>Total US - GroceryX</v>
          </cell>
          <cell r="C75">
            <v>121171760.292236</v>
          </cell>
          <cell r="D75">
            <v>1491139.29217529</v>
          </cell>
          <cell r="E75">
            <v>1.23059967815854</v>
          </cell>
          <cell r="F75">
            <v>119680621.000061</v>
          </cell>
          <cell r="G75">
            <v>98.7694003218415</v>
          </cell>
          <cell r="H75">
            <v>61518209.9918823</v>
          </cell>
          <cell r="I75" t="str">
            <v>GroceryX</v>
          </cell>
          <cell r="J75">
            <v>99.7619196730326</v>
          </cell>
          <cell r="K75">
            <v>146462.755493164</v>
          </cell>
          <cell r="M75">
            <v>1266341.81838989</v>
          </cell>
          <cell r="O75">
            <v>15.189573504062</v>
          </cell>
          <cell r="P75">
            <v>266697.084486387</v>
          </cell>
          <cell r="R75">
            <v>1017625.85098267</v>
          </cell>
          <cell r="S75">
            <v>-6341.3440246582</v>
          </cell>
          <cell r="T75">
            <v>-0.0157000377551986</v>
          </cell>
          <cell r="U75">
            <v>1023967.19500732</v>
          </cell>
          <cell r="V75">
            <v>0.0157000377551952</v>
          </cell>
          <cell r="W75">
            <v>-1855949.2237854</v>
          </cell>
          <cell r="Y75">
            <v>-0.0134825003223966</v>
          </cell>
          <cell r="Z75">
            <v>4125.77124023438</v>
          </cell>
          <cell r="AB75">
            <v>352200.748886108</v>
          </cell>
          <cell r="AD75">
            <v>0.0108066738741712</v>
          </cell>
        </row>
        <row r="76">
          <cell r="A76" t="str">
            <v>Total US - Ralphs</v>
          </cell>
          <cell r="B76" t="str">
            <v>Total US - GroceryX</v>
          </cell>
          <cell r="C76">
            <v>121171760.292236</v>
          </cell>
          <cell r="D76">
            <v>3928544.53900146</v>
          </cell>
          <cell r="E76">
            <v>3.24212880090773</v>
          </cell>
          <cell r="F76">
            <v>117243215.753235</v>
          </cell>
          <cell r="G76">
            <v>96.7578711990923</v>
          </cell>
          <cell r="H76">
            <v>61518209.9918823</v>
          </cell>
          <cell r="I76" t="str">
            <v>GroceryX</v>
          </cell>
          <cell r="J76">
            <v>98.7917472734951</v>
          </cell>
          <cell r="K76">
            <v>743295.449523926</v>
          </cell>
          <cell r="L76">
            <v>4003775.508255</v>
          </cell>
          <cell r="M76">
            <v>6372138.0894928</v>
          </cell>
          <cell r="N76">
            <v>4003775.508255</v>
          </cell>
          <cell r="O76">
            <v>28.9587895382533</v>
          </cell>
          <cell r="P76">
            <v>721924.660134586</v>
          </cell>
          <cell r="R76">
            <v>1017625.85098267</v>
          </cell>
          <cell r="S76">
            <v>47577.5570068359</v>
          </cell>
          <cell r="T76">
            <v>0.012138422264425</v>
          </cell>
          <cell r="U76">
            <v>970048.29397583</v>
          </cell>
          <cell r="V76">
            <v>-0.0121384222644281</v>
          </cell>
          <cell r="W76">
            <v>-1855949.2237854</v>
          </cell>
          <cell r="Y76">
            <v>0.123813513959917</v>
          </cell>
          <cell r="Z76">
            <v>-100890.330566406</v>
          </cell>
          <cell r="AA76">
            <v>-696148.36088562</v>
          </cell>
          <cell r="AB76">
            <v>-590344.283126831</v>
          </cell>
          <cell r="AC76">
            <v>-696148.36088562</v>
          </cell>
          <cell r="AD76">
            <v>-0.375602239569162</v>
          </cell>
        </row>
        <row r="77">
          <cell r="A77" t="str">
            <v>Total US - Randalls</v>
          </cell>
          <cell r="B77" t="str">
            <v>Total US - GroceryX</v>
          </cell>
          <cell r="C77">
            <v>121171760.292236</v>
          </cell>
          <cell r="D77">
            <v>888838.193847656</v>
          </cell>
          <cell r="E77">
            <v>0.733535760893461</v>
          </cell>
          <cell r="F77">
            <v>120282922.098389</v>
          </cell>
          <cell r="G77">
            <v>99.2664642391065</v>
          </cell>
          <cell r="H77">
            <v>61518209.9918823</v>
          </cell>
          <cell r="I77" t="str">
            <v>GroceryX</v>
          </cell>
          <cell r="J77">
            <v>99.804012825982</v>
          </cell>
          <cell r="K77">
            <v>120567.801269531</v>
          </cell>
          <cell r="O77">
            <v>18.9023354816775</v>
          </cell>
          <cell r="P77">
            <v>160692.802937991</v>
          </cell>
          <cell r="R77">
            <v>1017625.85098267</v>
          </cell>
          <cell r="S77">
            <v>2208.15344238281</v>
          </cell>
          <cell r="T77">
            <v>-0.0043747941850818</v>
          </cell>
          <cell r="U77">
            <v>1015417.69754028</v>
          </cell>
          <cell r="V77">
            <v>0.00437479418508246</v>
          </cell>
          <cell r="W77">
            <v>-1855949.2237854</v>
          </cell>
          <cell r="Y77">
            <v>0.0121153234369302</v>
          </cell>
          <cell r="Z77">
            <v>-11315.4067993164</v>
          </cell>
          <cell r="AD77">
            <v>-0.484250708261158</v>
          </cell>
        </row>
        <row r="78">
          <cell r="A78" t="str">
            <v>Total US - Redners Markets</v>
          </cell>
          <cell r="B78" t="str">
            <v>Total US - GroceryX</v>
          </cell>
          <cell r="C78">
            <v>121171760.292236</v>
          </cell>
          <cell r="D78">
            <v>874541.877746582</v>
          </cell>
          <cell r="E78">
            <v>0.721737371510823</v>
          </cell>
          <cell r="F78">
            <v>120297218.41449</v>
          </cell>
          <cell r="G78">
            <v>99.2782626284892</v>
          </cell>
          <cell r="H78">
            <v>61518209.9918823</v>
          </cell>
          <cell r="I78" t="str">
            <v>GroceryX</v>
          </cell>
          <cell r="J78">
            <v>99.8347359399282</v>
          </cell>
          <cell r="K78">
            <v>101667.491516113</v>
          </cell>
          <cell r="M78">
            <v>1349132.98492432</v>
          </cell>
          <cell r="O78">
            <v>28.244335240934</v>
          </cell>
          <cell r="P78">
            <v>159200.081021319</v>
          </cell>
          <cell r="R78">
            <v>1017625.85098267</v>
          </cell>
          <cell r="S78">
            <v>-70837.3934936523</v>
          </cell>
          <cell r="T78">
            <v>-0.0650680727100361</v>
          </cell>
          <cell r="U78">
            <v>1088463.24447632</v>
          </cell>
          <cell r="V78">
            <v>0.0650680727100337</v>
          </cell>
          <cell r="W78">
            <v>-1855949.2237854</v>
          </cell>
          <cell r="Y78">
            <v>0.00227823227268686</v>
          </cell>
          <cell r="Z78">
            <v>-4511.02758789063</v>
          </cell>
          <cell r="AB78">
            <v>57416.4068908691</v>
          </cell>
          <cell r="AD78">
            <v>3.23007531576835</v>
          </cell>
        </row>
        <row r="79">
          <cell r="A79" t="str">
            <v>Total US - Safeway</v>
          </cell>
          <cell r="B79" t="str">
            <v>Total US - GroceryX</v>
          </cell>
          <cell r="C79">
            <v>121171760.292236</v>
          </cell>
          <cell r="D79">
            <v>12586133.8451233</v>
          </cell>
          <cell r="E79">
            <v>10.387019066793</v>
          </cell>
          <cell r="F79">
            <v>108585626.447113</v>
          </cell>
          <cell r="G79">
            <v>89.612980933207</v>
          </cell>
          <cell r="H79">
            <v>61518209.9918823</v>
          </cell>
          <cell r="I79" t="str">
            <v>GroceryX</v>
          </cell>
          <cell r="J79">
            <v>97.1203305831684</v>
          </cell>
          <cell r="K79">
            <v>1771521.07891846</v>
          </cell>
          <cell r="L79">
            <v>5644189.27176666</v>
          </cell>
          <cell r="M79">
            <v>17293796.6578331</v>
          </cell>
          <cell r="N79">
            <v>5644189.27176666</v>
          </cell>
          <cell r="O79">
            <v>25.3296214975879</v>
          </cell>
          <cell r="P79">
            <v>2537624.50858841</v>
          </cell>
          <cell r="R79">
            <v>1017625.85098267</v>
          </cell>
          <cell r="S79">
            <v>-119278.275817871</v>
          </cell>
          <cell r="T79">
            <v>-0.187242218533939</v>
          </cell>
          <cell r="U79">
            <v>1136904.12680054</v>
          </cell>
          <cell r="V79">
            <v>0.187242218533953</v>
          </cell>
          <cell r="W79">
            <v>-1855949.2237854</v>
          </cell>
          <cell r="Y79">
            <v>0.739950771290538</v>
          </cell>
          <cell r="Z79">
            <v>-522382.782104492</v>
          </cell>
          <cell r="AA79">
            <v>-3755937.1738205</v>
          </cell>
          <cell r="AB79">
            <v>-8661259.76702499</v>
          </cell>
          <cell r="AC79">
            <v>-3755937.1738205</v>
          </cell>
          <cell r="AD79">
            <v>-4.81332910260542</v>
          </cell>
        </row>
        <row r="80">
          <cell r="A80" t="str">
            <v>Total US - Save A Lot</v>
          </cell>
          <cell r="B80" t="str">
            <v>Total US - GroceryX</v>
          </cell>
          <cell r="C80">
            <v>121171760.292236</v>
          </cell>
          <cell r="D80">
            <v>9656065.7350769</v>
          </cell>
          <cell r="E80">
            <v>7.96890769911146</v>
          </cell>
          <cell r="F80">
            <v>111515694.557159</v>
          </cell>
          <cell r="G80">
            <v>92.0310923008885</v>
          </cell>
          <cell r="H80">
            <v>61518209.9918823</v>
          </cell>
          <cell r="I80" t="str">
            <v>GroceryX</v>
          </cell>
          <cell r="J80">
            <v>99.8240433754526</v>
          </cell>
          <cell r="K80">
            <v>108245.365783691</v>
          </cell>
          <cell r="M80">
            <v>786723.850179672</v>
          </cell>
          <cell r="O80">
            <v>4.12523863455452</v>
          </cell>
          <cell r="P80">
            <v>646540.493421333</v>
          </cell>
          <cell r="R80">
            <v>1017625.85098267</v>
          </cell>
          <cell r="S80">
            <v>-327154.642059326</v>
          </cell>
          <cell r="T80">
            <v>-0.339770502900203</v>
          </cell>
          <cell r="U80">
            <v>1344780.49304199</v>
          </cell>
          <cell r="V80">
            <v>0.339770502900208</v>
          </cell>
          <cell r="W80">
            <v>-1855949.2237854</v>
          </cell>
          <cell r="Y80">
            <v>0.106503554339696</v>
          </cell>
          <cell r="Z80">
            <v>-70761.3977050781</v>
          </cell>
          <cell r="AB80">
            <v>-268566.741083145</v>
          </cell>
          <cell r="AD80">
            <v>-1.73669888507386</v>
          </cell>
        </row>
        <row r="81">
          <cell r="A81" t="str">
            <v>Total US - Save Mart</v>
          </cell>
          <cell r="B81" t="str">
            <v>Total US - GroceryX</v>
          </cell>
          <cell r="C81">
            <v>121171760.292236</v>
          </cell>
          <cell r="D81">
            <v>1499834.51635742</v>
          </cell>
          <cell r="E81">
            <v>1.23777562753912</v>
          </cell>
          <cell r="F81">
            <v>119671925.775879</v>
          </cell>
          <cell r="G81">
            <v>98.7622243724609</v>
          </cell>
          <cell r="H81">
            <v>61518209.9918823</v>
          </cell>
          <cell r="I81" t="str">
            <v>GroceryX</v>
          </cell>
          <cell r="J81">
            <v>99.8034286472782</v>
          </cell>
          <cell r="K81">
            <v>120927.17755127</v>
          </cell>
          <cell r="O81">
            <v>13.1057994736243</v>
          </cell>
          <cell r="P81">
            <v>293702.846454759</v>
          </cell>
          <cell r="R81">
            <v>1017625.85098267</v>
          </cell>
          <cell r="S81">
            <v>-28431.8113708496</v>
          </cell>
          <cell r="T81">
            <v>-0.0341459212574244</v>
          </cell>
          <cell r="U81">
            <v>1046057.66235352</v>
          </cell>
          <cell r="V81">
            <v>0.0341459212574193</v>
          </cell>
          <cell r="W81">
            <v>-1855949.2237854</v>
          </cell>
          <cell r="Y81">
            <v>0.104585806486313</v>
          </cell>
          <cell r="Z81">
            <v>-69928.6400146484</v>
          </cell>
          <cell r="AD81">
            <v>-3.68512111845875</v>
          </cell>
        </row>
        <row r="82">
          <cell r="A82" t="str">
            <v>Total US - Schnucks</v>
          </cell>
          <cell r="B82" t="str">
            <v>Total US - GroceryX</v>
          </cell>
          <cell r="C82">
            <v>121171760.292236</v>
          </cell>
          <cell r="D82">
            <v>1638034.86279297</v>
          </cell>
          <cell r="E82">
            <v>1.35182889052898</v>
          </cell>
          <cell r="F82">
            <v>119533725.429443</v>
          </cell>
          <cell r="G82">
            <v>98.648171109471</v>
          </cell>
          <cell r="H82">
            <v>61518209.9918823</v>
          </cell>
          <cell r="I82" t="str">
            <v>GroceryX</v>
          </cell>
          <cell r="J82">
            <v>99.6490601701224</v>
          </cell>
          <cell r="K82">
            <v>215891.901489258</v>
          </cell>
          <cell r="M82">
            <v>2263680.30813599</v>
          </cell>
          <cell r="O82">
            <v>23.5805568820646</v>
          </cell>
          <cell r="P82">
            <v>254522.498587304</v>
          </cell>
          <cell r="R82">
            <v>1017625.85098267</v>
          </cell>
          <cell r="S82">
            <v>-39293.6895141602</v>
          </cell>
          <cell r="T82">
            <v>-0.044151830490005</v>
          </cell>
          <cell r="U82">
            <v>1056919.54049683</v>
          </cell>
          <cell r="V82">
            <v>0.0441518304900086</v>
          </cell>
          <cell r="W82">
            <v>-1855949.2237854</v>
          </cell>
          <cell r="Y82">
            <v>0.047794834174951</v>
          </cell>
          <cell r="Z82">
            <v>-36802.8393554688</v>
          </cell>
          <cell r="AB82">
            <v>-288522.914299011</v>
          </cell>
          <cell r="AD82">
            <v>-1.87680219213592</v>
          </cell>
        </row>
        <row r="83">
          <cell r="A83" t="str">
            <v>Total US - Shaws</v>
          </cell>
          <cell r="B83" t="str">
            <v>Total US - GroceryX</v>
          </cell>
          <cell r="C83">
            <v>121171760.292236</v>
          </cell>
          <cell r="D83">
            <v>2286847.35144043</v>
          </cell>
          <cell r="E83">
            <v>1.88727748604553</v>
          </cell>
          <cell r="F83">
            <v>118884912.940796</v>
          </cell>
          <cell r="G83">
            <v>98.1127225139545</v>
          </cell>
          <cell r="H83">
            <v>61518209.9918823</v>
          </cell>
          <cell r="I83" t="str">
            <v>GroceryX</v>
          </cell>
          <cell r="J83">
            <v>99.4180448879004</v>
          </cell>
          <cell r="K83">
            <v>358008.367919922</v>
          </cell>
          <cell r="M83">
            <v>3152132.91743469</v>
          </cell>
          <cell r="O83">
            <v>31.9538840210669</v>
          </cell>
          <cell r="P83">
            <v>379889.614043966</v>
          </cell>
          <cell r="R83">
            <v>1017625.85098267</v>
          </cell>
          <cell r="S83">
            <v>-168149.018432617</v>
          </cell>
          <cell r="T83">
            <v>-0.155928418844376</v>
          </cell>
          <cell r="U83">
            <v>1185774.86941528</v>
          </cell>
          <cell r="V83">
            <v>0.155928418844368</v>
          </cell>
          <cell r="W83">
            <v>-1855949.2237854</v>
          </cell>
          <cell r="Y83">
            <v>-0.0387145621604787</v>
          </cell>
          <cell r="Z83">
            <v>13734.2368774414</v>
          </cell>
          <cell r="AB83">
            <v>-176291.255844116</v>
          </cell>
          <cell r="AD83">
            <v>0.915728557604982</v>
          </cell>
        </row>
        <row r="84">
          <cell r="A84" t="str">
            <v>Total US - Shop N Save</v>
          </cell>
          <cell r="B84" t="str">
            <v>Total US - GroceryX</v>
          </cell>
          <cell r="C84">
            <v>121171760.292236</v>
          </cell>
          <cell r="D84">
            <v>832451.357116699</v>
          </cell>
          <cell r="E84">
            <v>0.687001125599754</v>
          </cell>
          <cell r="F84">
            <v>120339308.93512</v>
          </cell>
          <cell r="G84">
            <v>99.3129988744003</v>
          </cell>
          <cell r="H84">
            <v>61518209.9918823</v>
          </cell>
          <cell r="I84" t="str">
            <v>GroceryX</v>
          </cell>
          <cell r="J84">
            <v>99.7841751156148</v>
          </cell>
          <cell r="K84">
            <v>132771.60559082</v>
          </cell>
          <cell r="M84">
            <v>967988.243804932</v>
          </cell>
          <cell r="O84">
            <v>22.4132412207099</v>
          </cell>
          <cell r="P84">
            <v>130602.883539479</v>
          </cell>
          <cell r="R84">
            <v>1017625.85098267</v>
          </cell>
          <cell r="S84">
            <v>-22056.0302124023</v>
          </cell>
          <cell r="T84">
            <v>-0.0241748911913215</v>
          </cell>
          <cell r="U84">
            <v>1039681.88119507</v>
          </cell>
          <cell r="V84">
            <v>0.024174891191322</v>
          </cell>
          <cell r="W84">
            <v>-1855949.2237854</v>
          </cell>
          <cell r="Y84">
            <v>0.0208092134712103</v>
          </cell>
          <cell r="Z84">
            <v>-17193.2643432617</v>
          </cell>
          <cell r="AB84">
            <v>-688063.853134155</v>
          </cell>
          <cell r="AD84">
            <v>-2.1052959980648</v>
          </cell>
        </row>
        <row r="85">
          <cell r="A85" t="str">
            <v>Total US - Shop Rite</v>
          </cell>
          <cell r="B85" t="str">
            <v>Total US - GroceryX</v>
          </cell>
          <cell r="C85">
            <v>121171760.292236</v>
          </cell>
          <cell r="D85">
            <v>7402749.77325439</v>
          </cell>
          <cell r="E85">
            <v>6.10930282385994</v>
          </cell>
          <cell r="F85">
            <v>113769010.518982</v>
          </cell>
          <cell r="G85">
            <v>93.8906971761401</v>
          </cell>
          <cell r="H85">
            <v>61518209.9918823</v>
          </cell>
          <cell r="I85" t="str">
            <v>GroceryX</v>
          </cell>
          <cell r="J85">
            <v>96.0793225106172</v>
          </cell>
          <cell r="K85">
            <v>2411930.61102295</v>
          </cell>
          <cell r="L85">
            <v>8893623.20611572</v>
          </cell>
          <cell r="M85">
            <v>49893002.499836</v>
          </cell>
          <cell r="N85">
            <v>8893623.20611572</v>
          </cell>
          <cell r="O85">
            <v>60.3427741433036</v>
          </cell>
          <cell r="P85">
            <v>2074027.34202799</v>
          </cell>
          <cell r="R85">
            <v>1017625.85098267</v>
          </cell>
          <cell r="S85">
            <v>201159.17791748</v>
          </cell>
          <cell r="T85">
            <v>0.115675863933774</v>
          </cell>
          <cell r="U85">
            <v>816466.673065186</v>
          </cell>
          <cell r="V85">
            <v>-0.115675863933774</v>
          </cell>
          <cell r="W85">
            <v>-1855949.2237854</v>
          </cell>
          <cell r="Y85">
            <v>-0.0540471229883224</v>
          </cell>
          <cell r="Z85">
            <v>-38513.8736572266</v>
          </cell>
          <cell r="AA85">
            <v>-3795265.7809906</v>
          </cell>
          <cell r="AB85">
            <v>-10066591.6927147</v>
          </cell>
          <cell r="AC85">
            <v>-3795265.7809906</v>
          </cell>
          <cell r="AD85">
            <v>-0.236857861422699</v>
          </cell>
        </row>
        <row r="86">
          <cell r="A86" t="str">
            <v>Total US - Shoppers Food Warehouse</v>
          </cell>
          <cell r="B86" t="str">
            <v>Total US - GroceryX</v>
          </cell>
          <cell r="C86">
            <v>121171760.292236</v>
          </cell>
          <cell r="D86">
            <v>1284351.0614624</v>
          </cell>
          <cell r="E86">
            <v>1.05994256282558</v>
          </cell>
          <cell r="F86">
            <v>119887409.230774</v>
          </cell>
          <cell r="G86">
            <v>98.9400574371744</v>
          </cell>
          <cell r="H86">
            <v>61518209.9918823</v>
          </cell>
          <cell r="I86" t="str">
            <v>GroceryX</v>
          </cell>
          <cell r="J86">
            <v>99.8024657482009</v>
          </cell>
          <cell r="K86">
            <v>121519.535827637</v>
          </cell>
          <cell r="O86">
            <v>14.1982161964683</v>
          </cell>
          <cell r="P86">
            <v>188162.104478978</v>
          </cell>
          <cell r="R86">
            <v>1017625.85098267</v>
          </cell>
          <cell r="S86">
            <v>847.352783203125</v>
          </cell>
          <cell r="T86">
            <v>-0.00827178922131688</v>
          </cell>
          <cell r="U86">
            <v>1016778.49819946</v>
          </cell>
          <cell r="V86">
            <v>0.00827178922131111</v>
          </cell>
          <cell r="W86">
            <v>-1855949.2237854</v>
          </cell>
          <cell r="Y86">
            <v>0.00755812160572589</v>
          </cell>
          <cell r="Z86">
            <v>-8456.03143310547</v>
          </cell>
          <cell r="AD86">
            <v>-0.917964189743431</v>
          </cell>
        </row>
        <row r="87">
          <cell r="A87" t="str">
            <v>Total US - Smart &amp; Final</v>
          </cell>
          <cell r="B87" t="str">
            <v>Total US - GroceryX</v>
          </cell>
          <cell r="C87">
            <v>121171760.292236</v>
          </cell>
          <cell r="D87">
            <v>4983670.36181641</v>
          </cell>
          <cell r="E87">
            <v>4.11289755120915</v>
          </cell>
          <cell r="F87">
            <v>116188089.93042</v>
          </cell>
          <cell r="G87">
            <v>95.8871024487909</v>
          </cell>
          <cell r="H87">
            <v>61518209.9918823</v>
          </cell>
          <cell r="I87" t="str">
            <v>GroceryX</v>
          </cell>
          <cell r="J87">
            <v>99.4194529555566</v>
          </cell>
          <cell r="K87">
            <v>357142.149902344</v>
          </cell>
          <cell r="L87">
            <v>1567163.83093262</v>
          </cell>
          <cell r="M87">
            <v>4056201.3460083</v>
          </cell>
          <cell r="N87">
            <v>1567163.83093262</v>
          </cell>
          <cell r="O87">
            <v>9.91365571496238</v>
          </cell>
          <cell r="P87">
            <v>702390.222367713</v>
          </cell>
          <cell r="R87">
            <v>1017625.85098267</v>
          </cell>
          <cell r="S87">
            <v>504426.083251953</v>
          </cell>
          <cell r="T87">
            <v>0.384982320165253</v>
          </cell>
          <cell r="U87">
            <v>513199.767730713</v>
          </cell>
          <cell r="V87">
            <v>-0.38498232016525</v>
          </cell>
          <cell r="W87">
            <v>-1855949.2237854</v>
          </cell>
          <cell r="Y87">
            <v>-0.119882205270642</v>
          </cell>
          <cell r="Z87">
            <v>65199.6812744141</v>
          </cell>
          <cell r="AA87">
            <v>198737.271118164</v>
          </cell>
          <cell r="AB87">
            <v>749545.241649628</v>
          </cell>
          <cell r="AC87">
            <v>198737.271118164</v>
          </cell>
          <cell r="AD87">
            <v>0.651435761029122</v>
          </cell>
        </row>
        <row r="88">
          <cell r="A88" t="str">
            <v>Total US - Smiths Food &amp; Drug</v>
          </cell>
          <cell r="B88" t="str">
            <v>Total US - GroceryX</v>
          </cell>
          <cell r="C88">
            <v>121171760.292236</v>
          </cell>
          <cell r="D88">
            <v>2524546.98620605</v>
          </cell>
          <cell r="E88">
            <v>2.08344500411438</v>
          </cell>
          <cell r="F88">
            <v>118647213.30603</v>
          </cell>
          <cell r="G88">
            <v>97.9165549958856</v>
          </cell>
          <cell r="H88">
            <v>61518209.9918823</v>
          </cell>
          <cell r="I88" t="str">
            <v>GroceryX</v>
          </cell>
          <cell r="J88">
            <v>99.2109625114258</v>
          </cell>
          <cell r="K88">
            <v>485401.739135742</v>
          </cell>
          <cell r="L88">
            <v>2078244.84509277</v>
          </cell>
          <cell r="M88">
            <v>5901943.52166748</v>
          </cell>
          <cell r="N88">
            <v>2078244.84509277</v>
          </cell>
          <cell r="O88">
            <v>39.7951156518398</v>
          </cell>
          <cell r="P88">
            <v>563442.189853838</v>
          </cell>
          <cell r="R88">
            <v>1017625.85098267</v>
          </cell>
          <cell r="S88">
            <v>-22005.8948974609</v>
          </cell>
          <cell r="T88">
            <v>-0.0359601191014041</v>
          </cell>
          <cell r="U88">
            <v>1039631.74588013</v>
          </cell>
          <cell r="V88">
            <v>0.0359601191014036</v>
          </cell>
          <cell r="W88">
            <v>-1855949.2237854</v>
          </cell>
          <cell r="Y88">
            <v>-0.00435171290169478</v>
          </cell>
          <cell r="Z88">
            <v>-11886.2736816406</v>
          </cell>
          <cell r="AA88">
            <v>145741.615600586</v>
          </cell>
          <cell r="AB88">
            <v>-327588.769889832</v>
          </cell>
          <cell r="AC88">
            <v>145741.615600586</v>
          </cell>
          <cell r="AD88">
            <v>1.83187705100158</v>
          </cell>
        </row>
        <row r="89">
          <cell r="A89" t="str">
            <v>Total US - Sprouts Farmers Market</v>
          </cell>
          <cell r="B89" t="str">
            <v>Total US - GroceryX</v>
          </cell>
          <cell r="C89">
            <v>121171760.292236</v>
          </cell>
          <cell r="D89">
            <v>7411138.09381104</v>
          </cell>
          <cell r="E89">
            <v>6.11622549341299</v>
          </cell>
          <cell r="F89">
            <v>113760622.198425</v>
          </cell>
          <cell r="G89">
            <v>93.883774506587</v>
          </cell>
          <cell r="H89">
            <v>61518209.9918823</v>
          </cell>
          <cell r="I89" t="str">
            <v>GroceryX</v>
          </cell>
          <cell r="R89">
            <v>1017625.85098267</v>
          </cell>
          <cell r="S89">
            <v>592519.549591064</v>
          </cell>
          <cell r="T89">
            <v>0.441332510388952</v>
          </cell>
          <cell r="U89">
            <v>425106.301391602</v>
          </cell>
          <cell r="V89">
            <v>-0.441332510388946</v>
          </cell>
          <cell r="W89">
            <v>-1855949.2237854</v>
          </cell>
        </row>
        <row r="90">
          <cell r="A90" t="str">
            <v>Total US - Stater Brothers</v>
          </cell>
          <cell r="B90" t="str">
            <v>Total US - GroceryX</v>
          </cell>
          <cell r="C90">
            <v>121171760.292236</v>
          </cell>
          <cell r="D90">
            <v>2885524.92810059</v>
          </cell>
          <cell r="E90">
            <v>2.38135100219838</v>
          </cell>
          <cell r="F90">
            <v>118286235.364136</v>
          </cell>
          <cell r="G90">
            <v>97.6186489978016</v>
          </cell>
          <cell r="H90">
            <v>61518209.9918823</v>
          </cell>
          <cell r="I90" t="str">
            <v>GroceryX</v>
          </cell>
          <cell r="J90">
            <v>99.2278287715973</v>
          </cell>
          <cell r="K90">
            <v>475025.917785645</v>
          </cell>
          <cell r="L90">
            <v>1810588.16070557</v>
          </cell>
          <cell r="M90">
            <v>6408117.37770081</v>
          </cell>
          <cell r="N90">
            <v>1810588.16070557</v>
          </cell>
          <cell r="O90">
            <v>26.5461267121666</v>
          </cell>
          <cell r="P90">
            <v>523427.593559738</v>
          </cell>
          <cell r="R90">
            <v>1017625.85098267</v>
          </cell>
          <cell r="S90">
            <v>82530.6637573242</v>
          </cell>
          <cell r="T90">
            <v>0.0485188633977649</v>
          </cell>
          <cell r="U90">
            <v>935095.187225342</v>
          </cell>
          <cell r="V90">
            <v>-0.04851886339776</v>
          </cell>
          <cell r="W90">
            <v>-1855949.2237854</v>
          </cell>
          <cell r="Y90">
            <v>0.000673062123098589</v>
          </cell>
          <cell r="Z90">
            <v>-14757.6533813477</v>
          </cell>
          <cell r="AA90">
            <v>-1260831.62484741</v>
          </cell>
          <cell r="AB90">
            <v>564726.44839859</v>
          </cell>
          <cell r="AC90">
            <v>-1260831.62484741</v>
          </cell>
          <cell r="AD90">
            <v>-0.398964697055813</v>
          </cell>
        </row>
        <row r="91">
          <cell r="A91" t="str">
            <v>Total US - Stop &amp; Shop</v>
          </cell>
          <cell r="B91" t="str">
            <v>Total US - GroceryX</v>
          </cell>
          <cell r="C91">
            <v>121171760.292236</v>
          </cell>
          <cell r="D91">
            <v>6925223.14776611</v>
          </cell>
          <cell r="E91">
            <v>5.71521213446449</v>
          </cell>
          <cell r="F91">
            <v>114246537.14447</v>
          </cell>
          <cell r="G91">
            <v>94.2847878655355</v>
          </cell>
          <cell r="H91">
            <v>61518209.9918823</v>
          </cell>
          <cell r="I91" t="str">
            <v>GroceryX</v>
          </cell>
          <cell r="J91">
            <v>97.5755152081902</v>
          </cell>
          <cell r="K91">
            <v>1491499.64544678</v>
          </cell>
          <cell r="L91">
            <v>4833600.98513794</v>
          </cell>
          <cell r="M91">
            <v>19418185.9652767</v>
          </cell>
          <cell r="N91">
            <v>4833600.98513794</v>
          </cell>
          <cell r="O91">
            <v>40.0797288709206</v>
          </cell>
          <cell r="P91">
            <v>1542141.83951348</v>
          </cell>
          <cell r="R91">
            <v>1017625.85098267</v>
          </cell>
          <cell r="S91">
            <v>-64275.2537231445</v>
          </cell>
          <cell r="T91">
            <v>-0.101898058199416</v>
          </cell>
          <cell r="U91">
            <v>1081901.10470581</v>
          </cell>
          <cell r="V91">
            <v>0.10189805819941</v>
          </cell>
          <cell r="W91">
            <v>-1855949.2237854</v>
          </cell>
          <cell r="Y91">
            <v>0.412160795126837</v>
          </cell>
          <cell r="Z91">
            <v>-306200.645202637</v>
          </cell>
          <cell r="AA91">
            <v>-4703825.48635101</v>
          </cell>
          <cell r="AB91">
            <v>-4923585.5430088</v>
          </cell>
          <cell r="AC91">
            <v>-4703825.48635101</v>
          </cell>
          <cell r="AD91">
            <v>-5.76201825428542</v>
          </cell>
        </row>
        <row r="92">
          <cell r="A92" t="str">
            <v>Total US - Sweetbay Supermarket</v>
          </cell>
          <cell r="B92" t="str">
            <v>Total US - GroceryX</v>
          </cell>
          <cell r="C92">
            <v>121171760.292236</v>
          </cell>
          <cell r="H92">
            <v>61518209.9918823</v>
          </cell>
          <cell r="I92" t="str">
            <v>GroceryX</v>
          </cell>
          <cell r="R92">
            <v>1017625.85098267</v>
          </cell>
          <cell r="W92">
            <v>-1855949.2237854</v>
          </cell>
        </row>
        <row r="93">
          <cell r="A93" t="str">
            <v>Total US - Tom Thumb</v>
          </cell>
          <cell r="B93" t="str">
            <v>Total US - GroceryX</v>
          </cell>
          <cell r="C93">
            <v>121171760.292236</v>
          </cell>
          <cell r="D93">
            <v>929408.066162109</v>
          </cell>
          <cell r="E93">
            <v>0.767017054073166</v>
          </cell>
          <cell r="F93">
            <v>120242352.226074</v>
          </cell>
          <cell r="G93">
            <v>99.2329829459268</v>
          </cell>
          <cell r="H93">
            <v>61518209.9918823</v>
          </cell>
          <cell r="I93" t="str">
            <v>GroceryX</v>
          </cell>
          <cell r="J93">
            <v>99.8095207455649</v>
          </cell>
          <cell r="K93">
            <v>117179.427734375</v>
          </cell>
          <cell r="O93">
            <v>20.3541612154375</v>
          </cell>
          <cell r="P93">
            <v>251338.639311686</v>
          </cell>
          <cell r="R93">
            <v>1017625.85098267</v>
          </cell>
          <cell r="S93">
            <v>-59435.8521728516</v>
          </cell>
          <cell r="T93">
            <v>-0.0559624654692359</v>
          </cell>
          <cell r="U93">
            <v>1077061.70315552</v>
          </cell>
          <cell r="V93">
            <v>0.0559624654692357</v>
          </cell>
          <cell r="W93">
            <v>-1855949.2237854</v>
          </cell>
          <cell r="Y93">
            <v>0.0612117596942454</v>
          </cell>
          <cell r="Z93">
            <v>-42327.6362915039</v>
          </cell>
          <cell r="AD93">
            <v>-3.50574575501345</v>
          </cell>
        </row>
        <row r="94">
          <cell r="A94" t="str">
            <v>Total US - Tops</v>
          </cell>
          <cell r="B94" t="str">
            <v>Total US - GroceryX</v>
          </cell>
          <cell r="C94">
            <v>121171760.292236</v>
          </cell>
          <cell r="D94">
            <v>1555837.96325684</v>
          </cell>
          <cell r="E94">
            <v>1.28399386086704</v>
          </cell>
          <cell r="F94">
            <v>119615922.328979</v>
          </cell>
          <cell r="G94">
            <v>98.716006139133</v>
          </cell>
          <cell r="H94">
            <v>61518209.9918823</v>
          </cell>
          <cell r="I94" t="str">
            <v>GroceryX</v>
          </cell>
          <cell r="J94">
            <v>99.4848697583197</v>
          </cell>
          <cell r="K94">
            <v>316898.903808594</v>
          </cell>
          <cell r="M94">
            <v>4787853.6779213</v>
          </cell>
          <cell r="O94">
            <v>40.2448215629572</v>
          </cell>
          <cell r="P94">
            <v>360108.694349939</v>
          </cell>
          <cell r="R94">
            <v>1017625.85098267</v>
          </cell>
          <cell r="S94">
            <v>-35271.9302368164</v>
          </cell>
          <cell r="T94">
            <v>-0.0402301459827532</v>
          </cell>
          <cell r="U94">
            <v>1052897.78121948</v>
          </cell>
          <cell r="V94">
            <v>0.040230145982747</v>
          </cell>
          <cell r="W94">
            <v>-1855949.2237854</v>
          </cell>
          <cell r="Y94">
            <v>0.109544323825034</v>
          </cell>
          <cell r="Z94">
            <v>-78983.3499145508</v>
          </cell>
          <cell r="AB94">
            <v>-1566353.72393417</v>
          </cell>
          <cell r="AD94">
            <v>-5.85580459166651</v>
          </cell>
        </row>
        <row r="95">
          <cell r="A95" t="str">
            <v>Total US - Trader Joes</v>
          </cell>
          <cell r="B95" t="str">
            <v>Total US - GroceryX</v>
          </cell>
          <cell r="C95">
            <v>121171760.292236</v>
          </cell>
          <cell r="D95">
            <v>14800811.912262</v>
          </cell>
          <cell r="E95">
            <v>12.2147370613137</v>
          </cell>
          <cell r="F95">
            <v>106370948.379974</v>
          </cell>
          <cell r="G95">
            <v>87.7852629386863</v>
          </cell>
          <cell r="H95">
            <v>61518209.9918823</v>
          </cell>
          <cell r="I95" t="str">
            <v>GroceryX</v>
          </cell>
          <cell r="J95">
            <v>99.6583601391889</v>
          </cell>
          <cell r="K95">
            <v>210170.726989746</v>
          </cell>
          <cell r="M95">
            <v>674171.487098694</v>
          </cell>
          <cell r="O95">
            <v>1.91200676002488</v>
          </cell>
          <cell r="P95">
            <v>1434604.39813079</v>
          </cell>
          <cell r="R95">
            <v>1017625.85098267</v>
          </cell>
          <cell r="S95">
            <v>564755.94329834</v>
          </cell>
          <cell r="T95">
            <v>0.366575501859407</v>
          </cell>
          <cell r="U95">
            <v>452869.907684326</v>
          </cell>
          <cell r="V95">
            <v>-0.366575501859415</v>
          </cell>
          <cell r="W95">
            <v>-1855949.2237854</v>
          </cell>
          <cell r="Y95">
            <v>-0.0872656172043804</v>
          </cell>
          <cell r="Z95">
            <v>48963.1888427734</v>
          </cell>
          <cell r="AB95">
            <v>-285247.09078598</v>
          </cell>
          <cell r="AD95">
            <v>0.158113114502253</v>
          </cell>
        </row>
        <row r="96">
          <cell r="A96" t="str">
            <v>Total US - Vons</v>
          </cell>
          <cell r="B96" t="str">
            <v>Total US - GroceryX</v>
          </cell>
          <cell r="C96">
            <v>121171760.292236</v>
          </cell>
          <cell r="D96">
            <v>4292037.90789795</v>
          </cell>
          <cell r="E96">
            <v>3.54211071750267</v>
          </cell>
          <cell r="F96">
            <v>116879722.384338</v>
          </cell>
          <cell r="G96">
            <v>96.4578892824973</v>
          </cell>
          <cell r="H96">
            <v>61518209.9918823</v>
          </cell>
          <cell r="I96" t="str">
            <v>GroceryX</v>
          </cell>
          <cell r="J96">
            <v>98.9932663486971</v>
          </cell>
          <cell r="K96">
            <v>619324.52166748</v>
          </cell>
          <cell r="L96">
            <v>3427871.25872803</v>
          </cell>
          <cell r="M96">
            <v>4720912.22655487</v>
          </cell>
          <cell r="N96">
            <v>3427871.25872803</v>
          </cell>
          <cell r="O96">
            <v>21.2137412373858</v>
          </cell>
          <cell r="P96">
            <v>969051.71153091</v>
          </cell>
          <cell r="R96">
            <v>1017625.85098267</v>
          </cell>
          <cell r="S96">
            <v>-92329.8456420898</v>
          </cell>
          <cell r="T96">
            <v>-0.106842166164985</v>
          </cell>
          <cell r="U96">
            <v>1109955.69662476</v>
          </cell>
          <cell r="V96">
            <v>0.106842166164995</v>
          </cell>
          <cell r="W96">
            <v>-1855949.2237854</v>
          </cell>
          <cell r="Y96">
            <v>0.322689296323688</v>
          </cell>
          <cell r="Z96">
            <v>-223186.093811035</v>
          </cell>
          <cell r="AA96">
            <v>-939894.248321533</v>
          </cell>
          <cell r="AB96">
            <v>-2273443.15398407</v>
          </cell>
          <cell r="AC96">
            <v>-939894.248321533</v>
          </cell>
          <cell r="AD96">
            <v>-5.25305097326399</v>
          </cell>
        </row>
        <row r="97">
          <cell r="A97" t="str">
            <v>Total US - Wegmans</v>
          </cell>
          <cell r="B97" t="str">
            <v>Total US - GroceryX</v>
          </cell>
          <cell r="C97">
            <v>121171760.292236</v>
          </cell>
          <cell r="D97">
            <v>3741689.43341064</v>
          </cell>
          <cell r="E97">
            <v>3.08792199138365</v>
          </cell>
          <cell r="F97">
            <v>117430070.858826</v>
          </cell>
          <cell r="G97">
            <v>96.9120780086163</v>
          </cell>
          <cell r="H97">
            <v>61518209.9918823</v>
          </cell>
          <cell r="I97" t="str">
            <v>GroceryX</v>
          </cell>
          <cell r="J97">
            <v>98.9949488180416</v>
          </cell>
          <cell r="K97">
            <v>618289.496643066</v>
          </cell>
          <cell r="L97">
            <v>1918185.25552368</v>
          </cell>
          <cell r="M97">
            <v>7545620.76542282</v>
          </cell>
          <cell r="N97">
            <v>1918185.25552368</v>
          </cell>
          <cell r="O97">
            <v>25.6380057690047</v>
          </cell>
          <cell r="P97">
            <v>762117.03532657</v>
          </cell>
          <cell r="R97">
            <v>1017625.85098267</v>
          </cell>
          <cell r="S97">
            <v>124468.864807129</v>
          </cell>
          <cell r="T97">
            <v>0.0774383443377245</v>
          </cell>
          <cell r="U97">
            <v>893156.986175537</v>
          </cell>
          <cell r="V97">
            <v>-0.0774383443377218</v>
          </cell>
          <cell r="W97">
            <v>-1855949.2237854</v>
          </cell>
          <cell r="Y97">
            <v>0.0712739569375032</v>
          </cell>
          <cell r="Z97">
            <v>-63822.510559082</v>
          </cell>
          <cell r="AA97">
            <v>-362837.055245399</v>
          </cell>
          <cell r="AB97">
            <v>-460473.649785995</v>
          </cell>
          <cell r="AC97">
            <v>-362837.055245399</v>
          </cell>
          <cell r="AD97">
            <v>-2.82650497612035</v>
          </cell>
        </row>
        <row r="98">
          <cell r="A98" t="str">
            <v>Total US - Weis Markets</v>
          </cell>
          <cell r="B98" t="str">
            <v>Total US - GroceryX</v>
          </cell>
          <cell r="C98">
            <v>121171760.292236</v>
          </cell>
          <cell r="D98">
            <v>2261254.16235352</v>
          </cell>
          <cell r="E98">
            <v>1.86615607209133</v>
          </cell>
          <cell r="F98">
            <v>118910506.129883</v>
          </cell>
          <cell r="G98">
            <v>98.1338439279087</v>
          </cell>
          <cell r="H98">
            <v>61518209.9918823</v>
          </cell>
          <cell r="I98" t="str">
            <v>GroceryX</v>
          </cell>
          <cell r="J98">
            <v>99.3807951685104</v>
          </cell>
          <cell r="K98">
            <v>380923.728515625</v>
          </cell>
          <cell r="M98">
            <v>5457862.89881897</v>
          </cell>
          <cell r="O98">
            <v>32.9075194114765</v>
          </cell>
          <cell r="P98">
            <v>515310.72797648</v>
          </cell>
          <cell r="R98">
            <v>1017625.85098267</v>
          </cell>
          <cell r="S98">
            <v>-19145.8709716797</v>
          </cell>
          <cell r="T98">
            <v>-0.0317395300280818</v>
          </cell>
          <cell r="U98">
            <v>1036771.72195435</v>
          </cell>
          <cell r="V98">
            <v>0.0317395300280765</v>
          </cell>
          <cell r="W98">
            <v>-1855949.2237854</v>
          </cell>
          <cell r="Y98">
            <v>0.0080700107276499</v>
          </cell>
          <cell r="Z98">
            <v>-16606.4287109375</v>
          </cell>
          <cell r="AB98">
            <v>536322.083450317</v>
          </cell>
          <cell r="AD98">
            <v>-0.804055244831723</v>
          </cell>
        </row>
        <row r="99">
          <cell r="A99" t="str">
            <v>Total US - Whole Foods</v>
          </cell>
          <cell r="B99" t="str">
            <v>Total US - GroceryX</v>
          </cell>
          <cell r="C99">
            <v>121171760.292236</v>
          </cell>
          <cell r="D99">
            <v>8600610.73690796</v>
          </cell>
          <cell r="E99">
            <v>7.09786728868625</v>
          </cell>
          <cell r="F99">
            <v>112571149.555328</v>
          </cell>
          <cell r="G99">
            <v>92.9021327113138</v>
          </cell>
          <cell r="H99">
            <v>61518209.9918823</v>
          </cell>
          <cell r="I99" t="str">
            <v>GroceryX</v>
          </cell>
          <cell r="J99">
            <v>99.8142368452892</v>
          </cell>
          <cell r="K99">
            <v>114278.167602539</v>
          </cell>
          <cell r="O99">
            <v>1.98033701250606</v>
          </cell>
          <cell r="P99">
            <v>1232632.65035048</v>
          </cell>
          <cell r="R99">
            <v>1017625.85098267</v>
          </cell>
          <cell r="S99">
            <v>-43910.1837463379</v>
          </cell>
          <cell r="T99">
            <v>-0.0966591093053362</v>
          </cell>
          <cell r="U99">
            <v>1061536.034729</v>
          </cell>
          <cell r="V99">
            <v>0.0966591093053353</v>
          </cell>
          <cell r="W99">
            <v>-1855949.2237854</v>
          </cell>
          <cell r="Y99">
            <v>0.0450121189232817</v>
          </cell>
          <cell r="Z99">
            <v>-31973.7217407227</v>
          </cell>
          <cell r="AD99">
            <v>-0.199081717684753</v>
          </cell>
        </row>
        <row r="100">
          <cell r="A100" t="str">
            <v>Total US - Winco Foods</v>
          </cell>
          <cell r="B100" t="str">
            <v>Total US - GroceryX</v>
          </cell>
          <cell r="C100">
            <v>121171760.292236</v>
          </cell>
          <cell r="D100">
            <v>5405313.61218262</v>
          </cell>
          <cell r="E100">
            <v>4.46086909948848</v>
          </cell>
          <cell r="F100">
            <v>115766446.680054</v>
          </cell>
          <cell r="G100">
            <v>95.5391309005115</v>
          </cell>
          <cell r="H100">
            <v>61518209.9918823</v>
          </cell>
          <cell r="I100" t="str">
            <v>GroceryX</v>
          </cell>
          <cell r="J100">
            <v>98.8930079628048</v>
          </cell>
          <cell r="K100">
            <v>681001.686035156</v>
          </cell>
          <cell r="L100">
            <v>1943703.61079407</v>
          </cell>
          <cell r="M100">
            <v>8265336.88293457</v>
          </cell>
          <cell r="N100">
            <v>1943703.61079407</v>
          </cell>
          <cell r="O100">
            <v>23.2620113152498</v>
          </cell>
          <cell r="P100">
            <v>849322.314649546</v>
          </cell>
          <cell r="R100">
            <v>1017625.85098267</v>
          </cell>
          <cell r="S100">
            <v>187670.81918335</v>
          </cell>
          <cell r="T100">
            <v>0.118411124769094</v>
          </cell>
          <cell r="U100">
            <v>829955.031799316</v>
          </cell>
          <cell r="V100">
            <v>-0.118411124769096</v>
          </cell>
          <cell r="W100">
            <v>-1855949.2237854</v>
          </cell>
          <cell r="Y100">
            <v>0.149419064200373</v>
          </cell>
          <cell r="Z100">
            <v>-115238.285766602</v>
          </cell>
          <cell r="AA100">
            <v>-1420702.97119141</v>
          </cell>
          <cell r="AB100">
            <v>265723.990905762</v>
          </cell>
          <cell r="AC100">
            <v>-1420702.97119141</v>
          </cell>
          <cell r="AD100">
            <v>-2.54396736768803</v>
          </cell>
        </row>
        <row r="101">
          <cell r="A101" t="str">
            <v>Total US - Winn Dixie</v>
          </cell>
          <cell r="B101" t="str">
            <v>Total US - GroceryX</v>
          </cell>
          <cell r="C101">
            <v>121171760.292236</v>
          </cell>
          <cell r="D101">
            <v>7214918.4442749</v>
          </cell>
          <cell r="E101">
            <v>5.95429036177596</v>
          </cell>
          <cell r="F101">
            <v>113956841.847961</v>
          </cell>
          <cell r="G101">
            <v>94.045709638224</v>
          </cell>
          <cell r="H101">
            <v>61518209.9918823</v>
          </cell>
          <cell r="I101" t="str">
            <v>GroceryX</v>
          </cell>
          <cell r="J101">
            <v>98.3356091106081</v>
          </cell>
          <cell r="K101">
            <v>1023903.48242188</v>
          </cell>
          <cell r="L101">
            <v>4654400.89485168</v>
          </cell>
          <cell r="M101">
            <v>14524008.1811752</v>
          </cell>
          <cell r="N101">
            <v>4654400.89485168</v>
          </cell>
          <cell r="O101">
            <v>30.26335465135</v>
          </cell>
          <cell r="P101">
            <v>1338363.79822345</v>
          </cell>
          <cell r="R101">
            <v>1017625.85098267</v>
          </cell>
          <cell r="S101">
            <v>-197922.58001709</v>
          </cell>
          <cell r="T101">
            <v>-0.215152794519514</v>
          </cell>
          <cell r="U101">
            <v>1215548.43099976</v>
          </cell>
          <cell r="V101">
            <v>0.215152794519511</v>
          </cell>
          <cell r="W101">
            <v>-1855949.2237854</v>
          </cell>
          <cell r="Y101">
            <v>0.331476475114613</v>
          </cell>
          <cell r="Z101">
            <v>-240960.678894043</v>
          </cell>
          <cell r="AA101">
            <v>-1010497.88121033</v>
          </cell>
          <cell r="AB101">
            <v>-2379983.94773865</v>
          </cell>
          <cell r="AC101">
            <v>-1010497.88121033</v>
          </cell>
          <cell r="AD101">
            <v>-3.01497948669871</v>
          </cell>
        </row>
        <row r="102">
          <cell r="A102" t="str">
            <v>Total US - Woodmans Markets</v>
          </cell>
          <cell r="B102" t="str">
            <v>Total US - GroceryX</v>
          </cell>
          <cell r="C102">
            <v>121171760.292236</v>
          </cell>
          <cell r="D102">
            <v>1026193.93096924</v>
          </cell>
          <cell r="E102">
            <v>0.846891989102339</v>
          </cell>
          <cell r="F102">
            <v>120145566.361267</v>
          </cell>
          <cell r="G102">
            <v>99.1531080108977</v>
          </cell>
          <cell r="H102">
            <v>61518209.9918823</v>
          </cell>
          <cell r="I102" t="str">
            <v>GroceryX</v>
          </cell>
          <cell r="J102">
            <v>99.6508685199048</v>
          </cell>
          <cell r="K102">
            <v>214779.437072754</v>
          </cell>
          <cell r="M102">
            <v>3164340.01428986</v>
          </cell>
          <cell r="O102">
            <v>33.3661891723734</v>
          </cell>
          <cell r="P102">
            <v>179055.503094145</v>
          </cell>
          <cell r="R102">
            <v>1017625.85098267</v>
          </cell>
          <cell r="S102">
            <v>-32618.8716125488</v>
          </cell>
          <cell r="T102">
            <v>-0.0343201368935975</v>
          </cell>
          <cell r="U102">
            <v>1050244.72259521</v>
          </cell>
          <cell r="V102">
            <v>0.0343201368935979</v>
          </cell>
          <cell r="W102">
            <v>-1855949.2237854</v>
          </cell>
          <cell r="Y102">
            <v>0.0483049001798292</v>
          </cell>
          <cell r="Z102">
            <v>-37092.52734375</v>
          </cell>
          <cell r="AB102">
            <v>511853.656715393</v>
          </cell>
          <cell r="AD102">
            <v>-3.07954051186437</v>
          </cell>
        </row>
        <row r="103">
          <cell r="A103" t="str">
            <v>Total US - Hardware-Home</v>
          </cell>
          <cell r="B103" t="str">
            <v>Total US - Hardware-Home</v>
          </cell>
          <cell r="C103">
            <v>121171760.292236</v>
          </cell>
          <cell r="D103">
            <v>76705402.4938354</v>
          </cell>
          <cell r="E103">
            <v>63.3030355495711</v>
          </cell>
          <cell r="F103">
            <v>44466357.7984009</v>
          </cell>
          <cell r="G103">
            <v>36.6969644504289</v>
          </cell>
          <cell r="H103">
            <v>61518209.9918823</v>
          </cell>
          <cell r="I103" t="str">
            <v>Hardware-Home</v>
          </cell>
          <cell r="J103">
            <v>96.0034784754471</v>
          </cell>
          <cell r="K103">
            <v>2458588.50384521</v>
          </cell>
          <cell r="L103">
            <v>7482799.30241585</v>
          </cell>
          <cell r="M103">
            <v>21616920.5179443</v>
          </cell>
          <cell r="N103">
            <v>7482799.30241585</v>
          </cell>
          <cell r="O103">
            <v>5.47178730151564</v>
          </cell>
          <cell r="P103">
            <v>10114752.9692085</v>
          </cell>
          <cell r="R103">
            <v>1017625.85098267</v>
          </cell>
          <cell r="S103">
            <v>-1359385.17697144</v>
          </cell>
          <cell r="T103">
            <v>-1.66750252956149</v>
          </cell>
          <cell r="U103">
            <v>2377011.0279541</v>
          </cell>
          <cell r="V103">
            <v>1.66750252956149</v>
          </cell>
          <cell r="W103">
            <v>-1855949.2237854</v>
          </cell>
          <cell r="Y103">
            <v>0.189952411193374</v>
          </cell>
          <cell r="Z103">
            <v>-194554.153717041</v>
          </cell>
          <cell r="AA103">
            <v>-51013.6462898254</v>
          </cell>
          <cell r="AB103">
            <v>-1145909.36522675</v>
          </cell>
          <cell r="AC103">
            <v>-51013.6462898254</v>
          </cell>
          <cell r="AD103">
            <v>-0.268511148142614</v>
          </cell>
        </row>
        <row r="104">
          <cell r="A104" t="str">
            <v>Total US - Ace Hardware</v>
          </cell>
          <cell r="B104" t="str">
            <v>Total US - Hardware-Home</v>
          </cell>
          <cell r="C104">
            <v>121171760.292236</v>
          </cell>
          <cell r="D104">
            <v>15396562.1270752</v>
          </cell>
          <cell r="E104">
            <v>12.7063946995096</v>
          </cell>
          <cell r="F104">
            <v>105775198.165161</v>
          </cell>
          <cell r="G104">
            <v>87.2936053004904</v>
          </cell>
          <cell r="H104">
            <v>61518209.9918823</v>
          </cell>
          <cell r="I104" t="str">
            <v>Hardware-Home</v>
          </cell>
          <cell r="J104">
            <v>99.5873236846311</v>
          </cell>
          <cell r="K104">
            <v>253871.082275391</v>
          </cell>
          <cell r="M104">
            <v>1029024.7645874</v>
          </cell>
          <cell r="O104">
            <v>3.08385387761947</v>
          </cell>
          <cell r="P104">
            <v>855854.507781474</v>
          </cell>
          <cell r="R104">
            <v>1017625.85098267</v>
          </cell>
          <cell r="S104">
            <v>-297950.418487549</v>
          </cell>
          <cell r="T104">
            <v>-0.355588243104982</v>
          </cell>
          <cell r="U104">
            <v>1315576.26947021</v>
          </cell>
          <cell r="V104">
            <v>0.355588243104975</v>
          </cell>
          <cell r="W104">
            <v>-1855949.2237854</v>
          </cell>
          <cell r="Y104">
            <v>0.100485521565361</v>
          </cell>
          <cell r="Z104">
            <v>-71340.9172973633</v>
          </cell>
          <cell r="AB104">
            <v>-571931.521583557</v>
          </cell>
          <cell r="AD104">
            <v>-0.614259892658619</v>
          </cell>
        </row>
        <row r="105">
          <cell r="A105" t="str">
            <v>Total US - Home Depot</v>
          </cell>
          <cell r="B105" t="str">
            <v>Total US - Hardware-Home</v>
          </cell>
          <cell r="C105">
            <v>121171760.292236</v>
          </cell>
          <cell r="D105">
            <v>45576593.6126099</v>
          </cell>
          <cell r="E105">
            <v>37.6132140877465</v>
          </cell>
          <cell r="F105">
            <v>75595166.6796265</v>
          </cell>
          <cell r="G105">
            <v>62.3867859122535</v>
          </cell>
          <cell r="H105">
            <v>61518209.9918823</v>
          </cell>
          <cell r="I105" t="str">
            <v>Hardware-Home</v>
          </cell>
          <cell r="J105">
            <v>98.807977291809</v>
          </cell>
          <cell r="K105">
            <v>733311.032775879</v>
          </cell>
          <cell r="L105">
            <v>1979261.69593811</v>
          </cell>
          <cell r="M105">
            <v>5663633.81907463</v>
          </cell>
          <cell r="N105">
            <v>1979261.69593811</v>
          </cell>
          <cell r="O105">
            <v>2.55110578920747</v>
          </cell>
          <cell r="P105">
            <v>6549883.8264454</v>
          </cell>
          <cell r="R105">
            <v>1017625.85098267</v>
          </cell>
          <cell r="S105">
            <v>-274538.203643799</v>
          </cell>
          <cell r="T105">
            <v>-0.547047337690685</v>
          </cell>
          <cell r="U105">
            <v>1292164.05462646</v>
          </cell>
          <cell r="V105">
            <v>0.547047337690685</v>
          </cell>
          <cell r="W105">
            <v>-1855949.2237854</v>
          </cell>
          <cell r="Y105">
            <v>-0.343755049326063</v>
          </cell>
          <cell r="Z105">
            <v>195728.536071777</v>
          </cell>
          <cell r="AA105">
            <v>123262.731887817</v>
          </cell>
          <cell r="AB105">
            <v>1956555.66691399</v>
          </cell>
          <cell r="AC105">
            <v>123262.731887817</v>
          </cell>
          <cell r="AD105">
            <v>0.539993539009</v>
          </cell>
        </row>
        <row r="106">
          <cell r="A106" t="str">
            <v>Total US - Lowes Home Improvement</v>
          </cell>
          <cell r="B106" t="str">
            <v>Total US - Hardware-Home</v>
          </cell>
          <cell r="C106">
            <v>121171760.292236</v>
          </cell>
          <cell r="D106">
            <v>38686383.9416199</v>
          </cell>
          <cell r="E106">
            <v>31.9268976932562</v>
          </cell>
          <cell r="F106">
            <v>82485376.3506165</v>
          </cell>
          <cell r="G106">
            <v>68.0731023067438</v>
          </cell>
          <cell r="H106">
            <v>61518209.9918823</v>
          </cell>
          <cell r="I106" t="str">
            <v>Hardware-Home</v>
          </cell>
          <cell r="J106">
            <v>99.327897988837</v>
          </cell>
          <cell r="K106">
            <v>413465.126586914</v>
          </cell>
          <cell r="L106">
            <v>1673503.15367126</v>
          </cell>
          <cell r="M106">
            <v>2542336.95934296</v>
          </cell>
          <cell r="N106">
            <v>1673503.15367126</v>
          </cell>
          <cell r="O106">
            <v>1.82889238990917</v>
          </cell>
          <cell r="P106">
            <v>5126760.74157755</v>
          </cell>
          <cell r="R106">
            <v>1017625.85098267</v>
          </cell>
          <cell r="S106">
            <v>-1003041.82611084</v>
          </cell>
          <cell r="T106">
            <v>-1.10519558617724</v>
          </cell>
          <cell r="U106">
            <v>2020667.67709351</v>
          </cell>
          <cell r="V106">
            <v>1.10519558617723</v>
          </cell>
          <cell r="W106">
            <v>-1855949.2237854</v>
          </cell>
          <cell r="Y106">
            <v>0.0408981564802389</v>
          </cell>
          <cell r="Z106">
            <v>-38392.7348632813</v>
          </cell>
          <cell r="AA106">
            <v>1038466.97286987</v>
          </cell>
          <cell r="AB106">
            <v>40973.646812439</v>
          </cell>
          <cell r="AC106">
            <v>1038466.97286987</v>
          </cell>
          <cell r="AD106">
            <v>-0.147941057330619</v>
          </cell>
        </row>
        <row r="107">
          <cell r="A107" t="str">
            <v>Total US - Menards</v>
          </cell>
          <cell r="B107" t="str">
            <v>Total US - Hardware-Home</v>
          </cell>
          <cell r="C107">
            <v>121171760.292236</v>
          </cell>
          <cell r="D107">
            <v>10346575.0297852</v>
          </cell>
          <cell r="E107">
            <v>8.5387676178276</v>
          </cell>
          <cell r="F107">
            <v>110825185.262451</v>
          </cell>
          <cell r="G107">
            <v>91.4612323821724</v>
          </cell>
          <cell r="H107">
            <v>61518209.9918823</v>
          </cell>
          <cell r="I107" t="str">
            <v>Hardware-Home</v>
          </cell>
          <cell r="J107">
            <v>98.3574138699563</v>
          </cell>
          <cell r="K107">
            <v>1010489.58477783</v>
          </cell>
          <cell r="L107">
            <v>3323974.32773209</v>
          </cell>
          <cell r="M107">
            <v>10972512.4333439</v>
          </cell>
          <cell r="N107">
            <v>3323974.32773209</v>
          </cell>
          <cell r="O107">
            <v>16.7393575730898</v>
          </cell>
          <cell r="P107">
            <v>1483791.98263704</v>
          </cell>
          <cell r="R107">
            <v>1017625.85098267</v>
          </cell>
          <cell r="S107">
            <v>-116572.446899414</v>
          </cell>
          <cell r="T107">
            <v>-0.169336789349719</v>
          </cell>
          <cell r="U107">
            <v>1134198.29788208</v>
          </cell>
          <cell r="V107">
            <v>0.169336789349714</v>
          </cell>
          <cell r="W107">
            <v>-1855949.2237854</v>
          </cell>
          <cell r="Y107">
            <v>0.304778601698771</v>
          </cell>
          <cell r="Z107">
            <v>-223636.440826416</v>
          </cell>
          <cell r="AA107">
            <v>-1198640.32957459</v>
          </cell>
          <cell r="AB107">
            <v>-2623297.22567177</v>
          </cell>
          <cell r="AC107">
            <v>-1198640.32957459</v>
          </cell>
          <cell r="AD107">
            <v>-2.73317496499903</v>
          </cell>
        </row>
        <row r="108">
          <cell r="A108" t="str">
            <v>Total US - Orchard Supply</v>
          </cell>
          <cell r="B108" t="str">
            <v>Total US - Hardware-Home</v>
          </cell>
          <cell r="C108">
            <v>121171760.292236</v>
          </cell>
          <cell r="D108">
            <v>1701150.85211182</v>
          </cell>
          <cell r="E108">
            <v>1.40391692586545</v>
          </cell>
          <cell r="F108">
            <v>119470609.440125</v>
          </cell>
          <cell r="G108">
            <v>98.5960830741346</v>
          </cell>
          <cell r="H108">
            <v>61518209.9918823</v>
          </cell>
          <cell r="I108" t="str">
            <v>Hardware-Home</v>
          </cell>
          <cell r="R108">
            <v>1017625.85098267</v>
          </cell>
          <cell r="S108">
            <v>76118.5184631348</v>
          </cell>
          <cell r="T108">
            <v>0.0514604821438232</v>
          </cell>
          <cell r="U108">
            <v>941507.332519531</v>
          </cell>
          <cell r="V108">
            <v>-0.051460482143824</v>
          </cell>
          <cell r="W108">
            <v>-1855949.2237854</v>
          </cell>
        </row>
        <row r="109">
          <cell r="A109" t="str">
            <v>Total US - Sears Hardware</v>
          </cell>
          <cell r="B109" t="str">
            <v>Total US - Hardware-Home</v>
          </cell>
          <cell r="C109">
            <v>121171760.292236</v>
          </cell>
          <cell r="D109">
            <v>1641610.64239502</v>
          </cell>
          <cell r="E109">
            <v>1.3547798913178</v>
          </cell>
          <cell r="F109">
            <v>119530149.649841</v>
          </cell>
          <cell r="G109">
            <v>98.6452201086822</v>
          </cell>
          <cell r="H109">
            <v>61518209.9918823</v>
          </cell>
          <cell r="I109" t="str">
            <v>Hardware-Home</v>
          </cell>
          <cell r="R109">
            <v>1017625.85098267</v>
          </cell>
          <cell r="S109">
            <v>-370120.780212402</v>
          </cell>
          <cell r="T109">
            <v>-0.319512409952126</v>
          </cell>
          <cell r="U109">
            <v>1387746.63119507</v>
          </cell>
          <cell r="V109">
            <v>0.319512409952125</v>
          </cell>
          <cell r="W109">
            <v>-1855949.2237854</v>
          </cell>
        </row>
        <row r="110">
          <cell r="A110" t="str">
            <v>Total US - True Value</v>
          </cell>
          <cell r="B110" t="str">
            <v>Total US - Hardware-Home</v>
          </cell>
          <cell r="C110">
            <v>121171760.292236</v>
          </cell>
          <cell r="D110">
            <v>3484356.33636475</v>
          </cell>
          <cell r="E110">
            <v>2.87555147169715</v>
          </cell>
          <cell r="F110">
            <v>117687403.955872</v>
          </cell>
          <cell r="G110">
            <v>97.1244485283029</v>
          </cell>
          <cell r="H110">
            <v>61518209.9918823</v>
          </cell>
          <cell r="I110" t="str">
            <v>Hardware-Home</v>
          </cell>
          <cell r="R110">
            <v>1017625.85098267</v>
          </cell>
          <cell r="S110">
            <v>-95714.9834289551</v>
          </cell>
          <cell r="T110">
            <v>-0.104014180739126</v>
          </cell>
          <cell r="U110">
            <v>1113340.83441162</v>
          </cell>
          <cell r="V110">
            <v>0.104014180739128</v>
          </cell>
          <cell r="W110">
            <v>-1855949.2237854</v>
          </cell>
        </row>
        <row r="111">
          <cell r="A111" t="str">
            <v>Total US - Health/Vitamin</v>
          </cell>
          <cell r="B111" t="str">
            <v>Total US - Health/Vitamin</v>
          </cell>
          <cell r="C111">
            <v>121171760.292236</v>
          </cell>
          <cell r="D111">
            <v>9982051.37780762</v>
          </cell>
          <cell r="E111">
            <v>8.23793543457104</v>
          </cell>
          <cell r="F111">
            <v>111189708.914429</v>
          </cell>
          <cell r="G111">
            <v>91.762064565429</v>
          </cell>
          <cell r="H111">
            <v>61518209.9918823</v>
          </cell>
          <cell r="I111" t="str">
            <v>Health/Vitamin</v>
          </cell>
          <cell r="R111">
            <v>1017625.85098267</v>
          </cell>
          <cell r="S111">
            <v>-1352538.77322388</v>
          </cell>
          <cell r="T111">
            <v>-1.19543962467277</v>
          </cell>
          <cell r="U111">
            <v>2370164.62420654</v>
          </cell>
          <cell r="V111">
            <v>1.19543962467276</v>
          </cell>
          <cell r="W111">
            <v>-1855949.2237854</v>
          </cell>
        </row>
        <row r="112">
          <cell r="A112" t="str">
            <v>Total US - GNC</v>
          </cell>
          <cell r="B112" t="str">
            <v>Total US - Health/Vitamin</v>
          </cell>
          <cell r="C112">
            <v>121171760.292236</v>
          </cell>
          <cell r="D112">
            <v>3650297.37701416</v>
          </cell>
          <cell r="E112">
            <v>3.01249843050109</v>
          </cell>
          <cell r="F112">
            <v>117521462.915222</v>
          </cell>
          <cell r="G112">
            <v>96.9875015694989</v>
          </cell>
          <cell r="H112">
            <v>61518209.9918823</v>
          </cell>
          <cell r="I112" t="str">
            <v>Health/Vitamin</v>
          </cell>
          <cell r="R112">
            <v>1017625.85098267</v>
          </cell>
          <cell r="S112">
            <v>-663346.068054199</v>
          </cell>
          <cell r="T112">
            <v>-0.577593134077912</v>
          </cell>
          <cell r="U112">
            <v>1680971.91903687</v>
          </cell>
          <cell r="V112">
            <v>0.577593134077915</v>
          </cell>
          <cell r="W112">
            <v>-1855949.2237854</v>
          </cell>
        </row>
        <row r="113">
          <cell r="A113" t="str">
            <v>Total US - Internet</v>
          </cell>
          <cell r="B113" t="str">
            <v>Total US - Internet</v>
          </cell>
          <cell r="C113">
            <v>121171760.292236</v>
          </cell>
          <cell r="D113">
            <v>51988929.3051758</v>
          </cell>
          <cell r="E113">
            <v>42.9051531312175</v>
          </cell>
          <cell r="F113">
            <v>69182830.9870605</v>
          </cell>
          <cell r="G113">
            <v>57.0948468687825</v>
          </cell>
          <cell r="H113">
            <v>61518209.9918823</v>
          </cell>
          <cell r="I113" t="str">
            <v>Internet</v>
          </cell>
          <cell r="J113">
            <v>96.8410457782643</v>
          </cell>
          <cell r="K113">
            <v>1943332.0916748</v>
          </cell>
          <cell r="L113">
            <v>4964319.86269379</v>
          </cell>
          <cell r="M113">
            <v>16404380.9024658</v>
          </cell>
          <cell r="N113">
            <v>4964319.86269379</v>
          </cell>
          <cell r="O113">
            <v>8.14687812329208</v>
          </cell>
          <cell r="P113">
            <v>11077798.9486787</v>
          </cell>
          <cell r="R113">
            <v>1017625.85098267</v>
          </cell>
          <cell r="S113">
            <v>-1517598.31466675</v>
          </cell>
          <cell r="T113">
            <v>-1.62642114099634</v>
          </cell>
          <cell r="U113">
            <v>2535224.16564941</v>
          </cell>
          <cell r="V113">
            <v>1.62642114099634</v>
          </cell>
          <cell r="W113">
            <v>-1855949.2237854</v>
          </cell>
          <cell r="Y113">
            <v>0.397079319547444</v>
          </cell>
          <cell r="Z113">
            <v>-310274.266540527</v>
          </cell>
          <cell r="AA113">
            <v>-3024941.33929157</v>
          </cell>
          <cell r="AB113">
            <v>-162626.000286102</v>
          </cell>
          <cell r="AC113">
            <v>-3024941.33929157</v>
          </cell>
          <cell r="AD113">
            <v>-0.495130944198594</v>
          </cell>
        </row>
        <row r="114">
          <cell r="A114" t="str">
            <v>Total US - Amazon.com</v>
          </cell>
          <cell r="B114" t="str">
            <v>Total US - Internet</v>
          </cell>
          <cell r="C114">
            <v>121171760.292236</v>
          </cell>
          <cell r="D114">
            <v>23825052.065155</v>
          </cell>
          <cell r="E114">
            <v>19.6622150307092</v>
          </cell>
          <cell r="F114">
            <v>97346708.2270813</v>
          </cell>
          <cell r="G114">
            <v>80.3377849692908</v>
          </cell>
          <cell r="H114">
            <v>61518209.9918823</v>
          </cell>
          <cell r="I114" t="str">
            <v>Internet</v>
          </cell>
          <cell r="J114">
            <v>99.1895983146104</v>
          </cell>
          <cell r="K114">
            <v>498544.610595703</v>
          </cell>
          <cell r="L114">
            <v>1109541.55459595</v>
          </cell>
          <cell r="M114">
            <v>2192154.20335388</v>
          </cell>
          <cell r="N114">
            <v>1109541.55459595</v>
          </cell>
          <cell r="O114">
            <v>3.5335344197252</v>
          </cell>
          <cell r="P114">
            <v>5276905.48461712</v>
          </cell>
          <cell r="R114">
            <v>1017625.85098267</v>
          </cell>
          <cell r="S114">
            <v>575329.030944824</v>
          </cell>
          <cell r="T114">
            <v>0.312299905168885</v>
          </cell>
          <cell r="U114">
            <v>442296.820037842</v>
          </cell>
          <cell r="V114">
            <v>-0.312299905168885</v>
          </cell>
          <cell r="W114">
            <v>-1855949.2237854</v>
          </cell>
          <cell r="Y114">
            <v>-0.209803800906698</v>
          </cell>
          <cell r="Z114">
            <v>117920.751037598</v>
          </cell>
          <cell r="AA114">
            <v>442101.740393639</v>
          </cell>
          <cell r="AB114">
            <v>955950.780567169</v>
          </cell>
          <cell r="AC114">
            <v>442101.740393639</v>
          </cell>
          <cell r="AD114">
            <v>0.616845628747808</v>
          </cell>
        </row>
        <row r="115">
          <cell r="A115" t="str">
            <v>Total US - Amazonfresh.com</v>
          </cell>
          <cell r="B115" t="str">
            <v>Total US - Internet</v>
          </cell>
          <cell r="C115">
            <v>121171760.292236</v>
          </cell>
          <cell r="D115">
            <v>204272.88861084</v>
          </cell>
          <cell r="E115">
            <v>0.16858126688775</v>
          </cell>
          <cell r="F115">
            <v>120967487.403625</v>
          </cell>
          <cell r="G115">
            <v>99.8314187331122</v>
          </cell>
          <cell r="H115">
            <v>61518209.9918823</v>
          </cell>
          <cell r="I115" t="str">
            <v>Internet</v>
          </cell>
          <cell r="R115">
            <v>1017625.85098267</v>
          </cell>
          <cell r="S115">
            <v>38151.5478515625</v>
          </cell>
          <cell r="T115">
            <v>0.0303244007950581</v>
          </cell>
          <cell r="U115">
            <v>979474.303131104</v>
          </cell>
          <cell r="V115">
            <v>-0.0303244007950667</v>
          </cell>
          <cell r="W115">
            <v>-1855949.2237854</v>
          </cell>
        </row>
        <row r="116">
          <cell r="A116" t="str">
            <v>Total US - Barnesnoble.com</v>
          </cell>
          <cell r="B116" t="str">
            <v>Total US - Internet</v>
          </cell>
          <cell r="C116">
            <v>121171760.292236</v>
          </cell>
          <cell r="D116">
            <v>1028810.84231567</v>
          </cell>
          <cell r="E116">
            <v>0.849051660085185</v>
          </cell>
          <cell r="F116">
            <v>120142949.449921</v>
          </cell>
          <cell r="G116">
            <v>99.1509483399148</v>
          </cell>
          <cell r="H116">
            <v>61518209.9918823</v>
          </cell>
          <cell r="I116" t="str">
            <v>Internet</v>
          </cell>
          <cell r="R116">
            <v>1017625.85098267</v>
          </cell>
          <cell r="S116">
            <v>-241663.597015381</v>
          </cell>
          <cell r="T116">
            <v>-0.208318895858706</v>
          </cell>
          <cell r="U116">
            <v>1259289.44799805</v>
          </cell>
          <cell r="V116">
            <v>0.20831889585871</v>
          </cell>
          <cell r="W116">
            <v>-1855949.2237854</v>
          </cell>
        </row>
        <row r="117">
          <cell r="A117" t="str">
            <v>Total US - Bestbuy.com</v>
          </cell>
          <cell r="B117" t="str">
            <v>Total US - Internet</v>
          </cell>
          <cell r="C117">
            <v>121171760.292236</v>
          </cell>
          <cell r="D117">
            <v>2747422.6835022</v>
          </cell>
          <cell r="E117">
            <v>2.26737870018236</v>
          </cell>
          <cell r="F117">
            <v>118424337.608734</v>
          </cell>
          <cell r="G117">
            <v>97.7326212998176</v>
          </cell>
          <cell r="H117">
            <v>61518209.9918823</v>
          </cell>
          <cell r="I117" t="str">
            <v>Internet</v>
          </cell>
          <cell r="R117">
            <v>1017625.85098267</v>
          </cell>
          <cell r="S117">
            <v>31482.8312988281</v>
          </cell>
          <cell r="T117">
            <v>0.00699884323182332</v>
          </cell>
          <cell r="U117">
            <v>986143.019683838</v>
          </cell>
          <cell r="V117">
            <v>-0.00699884323182687</v>
          </cell>
          <cell r="W117">
            <v>-1855949.2237854</v>
          </cell>
        </row>
        <row r="118">
          <cell r="A118" t="str">
            <v>Total US - Bjs.com</v>
          </cell>
          <cell r="B118" t="str">
            <v>Total US - Internet</v>
          </cell>
          <cell r="C118">
            <v>121171760.292236</v>
          </cell>
          <cell r="D118">
            <v>433402.446533203</v>
          </cell>
          <cell r="E118">
            <v>0.357676116520833</v>
          </cell>
          <cell r="F118">
            <v>120738357.845703</v>
          </cell>
          <cell r="G118">
            <v>99.6423238834792</v>
          </cell>
          <cell r="H118">
            <v>61518209.9918823</v>
          </cell>
          <cell r="I118" t="str">
            <v>Internet</v>
          </cell>
          <cell r="R118">
            <v>1017625.85098267</v>
          </cell>
          <cell r="S118">
            <v>21118.7998046875</v>
          </cell>
          <cell r="T118">
            <v>0.0145471441839786</v>
          </cell>
          <cell r="U118">
            <v>996507.051177979</v>
          </cell>
          <cell r="V118">
            <v>-0.0145471441839788</v>
          </cell>
          <cell r="W118">
            <v>-1855949.2237854</v>
          </cell>
        </row>
        <row r="119">
          <cell r="A119" t="str">
            <v>Total US - CVS.com</v>
          </cell>
          <cell r="B119" t="str">
            <v>Total US - Internet</v>
          </cell>
          <cell r="C119">
            <v>121171760.292236</v>
          </cell>
          <cell r="D119">
            <v>1993857.82501221</v>
          </cell>
          <cell r="E119">
            <v>1.64548061380268</v>
          </cell>
          <cell r="F119">
            <v>119177902.467224</v>
          </cell>
          <cell r="G119">
            <v>98.3545193861973</v>
          </cell>
          <cell r="H119">
            <v>61518209.9918823</v>
          </cell>
          <cell r="I119" t="str">
            <v>Internet</v>
          </cell>
          <cell r="O119">
            <v>9.63209736968561</v>
          </cell>
          <cell r="P119">
            <v>186534.240944986</v>
          </cell>
          <cell r="R119">
            <v>1017625.85098267</v>
          </cell>
          <cell r="S119">
            <v>-234641.525939941</v>
          </cell>
          <cell r="T119">
            <v>-0.20921990176028</v>
          </cell>
          <cell r="U119">
            <v>1252267.37692261</v>
          </cell>
          <cell r="V119">
            <v>0.209219901760278</v>
          </cell>
          <cell r="W119">
            <v>-1855949.2237854</v>
          </cell>
          <cell r="AD119">
            <v>2.33976236347263</v>
          </cell>
        </row>
        <row r="120">
          <cell r="A120" t="str">
            <v>Total US - Costco.com</v>
          </cell>
          <cell r="B120" t="str">
            <v>Total US - Internet</v>
          </cell>
          <cell r="C120">
            <v>121171760.292236</v>
          </cell>
          <cell r="D120">
            <v>1494902.09039307</v>
          </cell>
          <cell r="E120">
            <v>1.23370502069767</v>
          </cell>
          <cell r="F120">
            <v>119676858.201843</v>
          </cell>
          <cell r="G120">
            <v>98.7662949793023</v>
          </cell>
          <cell r="H120">
            <v>61518209.9918823</v>
          </cell>
          <cell r="I120" t="str">
            <v>Internet</v>
          </cell>
          <cell r="O120">
            <v>7.62198067007177</v>
          </cell>
          <cell r="P120">
            <v>291126.203007558</v>
          </cell>
          <cell r="R120">
            <v>1017625.85098267</v>
          </cell>
          <cell r="S120">
            <v>9968.59039306641</v>
          </cell>
          <cell r="T120">
            <v>-0.00215216133381446</v>
          </cell>
          <cell r="U120">
            <v>1007657.2605896</v>
          </cell>
          <cell r="V120">
            <v>0.00215216133381091</v>
          </cell>
          <cell r="W120">
            <v>-1855949.2237854</v>
          </cell>
          <cell r="AD120">
            <v>-2.67186637939929</v>
          </cell>
        </row>
        <row r="121">
          <cell r="A121" t="str">
            <v>Total US - Dollargeneral.com</v>
          </cell>
          <cell r="B121" t="str">
            <v>Total US - Internet</v>
          </cell>
          <cell r="C121">
            <v>121171760.292236</v>
          </cell>
          <cell r="D121">
            <v>771739.69744873</v>
          </cell>
          <cell r="E121">
            <v>0.636897322930265</v>
          </cell>
          <cell r="F121">
            <v>120400020.594788</v>
          </cell>
          <cell r="G121">
            <v>99.3631026770697</v>
          </cell>
          <cell r="H121">
            <v>61518209.9918823</v>
          </cell>
          <cell r="I121" t="str">
            <v>Internet</v>
          </cell>
          <cell r="O121">
            <v>14.7002094659705</v>
          </cell>
          <cell r="P121">
            <v>50914.6038402188</v>
          </cell>
          <cell r="R121">
            <v>1017625.85098267</v>
          </cell>
          <cell r="S121">
            <v>-48099.1016235352</v>
          </cell>
          <cell r="T121">
            <v>-0.0454252645401693</v>
          </cell>
          <cell r="U121">
            <v>1065724.9526062</v>
          </cell>
          <cell r="V121">
            <v>0.0454252645401709</v>
          </cell>
          <cell r="W121">
            <v>-1855949.2237854</v>
          </cell>
          <cell r="AD121">
            <v>-2.90350630098482</v>
          </cell>
        </row>
        <row r="122">
          <cell r="A122" t="str">
            <v>Total US - Drugstore.com</v>
          </cell>
          <cell r="B122" t="str">
            <v>Total US - Internet</v>
          </cell>
          <cell r="C122">
            <v>121171760.292236</v>
          </cell>
          <cell r="D122">
            <v>1568582.89996338</v>
          </cell>
          <cell r="E122">
            <v>1.29451193593321</v>
          </cell>
          <cell r="F122">
            <v>119603177.392273</v>
          </cell>
          <cell r="G122">
            <v>98.7054880640668</v>
          </cell>
          <cell r="H122">
            <v>61518209.9918823</v>
          </cell>
          <cell r="I122" t="str">
            <v>Internet</v>
          </cell>
          <cell r="R122">
            <v>1017625.85098267</v>
          </cell>
          <cell r="S122">
            <v>-271983.340118408</v>
          </cell>
          <cell r="T122">
            <v>-0.237325689664005</v>
          </cell>
          <cell r="U122">
            <v>1289609.19110107</v>
          </cell>
          <cell r="V122">
            <v>0.237325689664004</v>
          </cell>
          <cell r="W122">
            <v>-1855949.2237854</v>
          </cell>
        </row>
        <row r="123">
          <cell r="A123" t="str">
            <v>Total US - Ebay.com</v>
          </cell>
          <cell r="B123" t="str">
            <v>Total US - Internet</v>
          </cell>
          <cell r="C123">
            <v>121171760.292236</v>
          </cell>
          <cell r="D123">
            <v>4081950.98278809</v>
          </cell>
          <cell r="E123">
            <v>3.36873127281755</v>
          </cell>
          <cell r="F123">
            <v>117089809.309448</v>
          </cell>
          <cell r="G123">
            <v>96.6312687271824</v>
          </cell>
          <cell r="H123">
            <v>61518209.9918823</v>
          </cell>
          <cell r="I123" t="str">
            <v>Internet</v>
          </cell>
          <cell r="R123">
            <v>1017625.85098267</v>
          </cell>
          <cell r="S123">
            <v>-301804.302093506</v>
          </cell>
          <cell r="T123">
            <v>-0.279711875033444</v>
          </cell>
          <cell r="U123">
            <v>1319430.15307617</v>
          </cell>
          <cell r="V123">
            <v>0.279711875033442</v>
          </cell>
          <cell r="W123">
            <v>-1855949.2237854</v>
          </cell>
        </row>
        <row r="124">
          <cell r="A124" t="str">
            <v>Total US - Homedepot.com</v>
          </cell>
          <cell r="B124" t="str">
            <v>Total US - Internet</v>
          </cell>
          <cell r="C124">
            <v>121171760.292236</v>
          </cell>
          <cell r="D124">
            <v>1364454.2512207</v>
          </cell>
          <cell r="E124">
            <v>1.12604970657353</v>
          </cell>
          <cell r="F124">
            <v>119807306.041016</v>
          </cell>
          <cell r="G124">
            <v>98.8739502934265</v>
          </cell>
          <cell r="H124">
            <v>61518209.9918823</v>
          </cell>
          <cell r="I124" t="str">
            <v>Internet</v>
          </cell>
          <cell r="R124">
            <v>1017625.85098267</v>
          </cell>
          <cell r="S124">
            <v>-118594.53918457</v>
          </cell>
          <cell r="T124">
            <v>-0.108238898892958</v>
          </cell>
          <cell r="U124">
            <v>1136220.39016724</v>
          </cell>
          <cell r="V124">
            <v>0.108238898892964</v>
          </cell>
          <cell r="W124">
            <v>-1855949.2237854</v>
          </cell>
        </row>
        <row r="125">
          <cell r="A125" t="str">
            <v>Total US - Homeshopnet.com</v>
          </cell>
          <cell r="B125" t="str">
            <v>Total US - Internet</v>
          </cell>
          <cell r="C125">
            <v>121171760.292236</v>
          </cell>
          <cell r="D125">
            <v>710465.702087402</v>
          </cell>
          <cell r="E125">
            <v>0.586329438785023</v>
          </cell>
          <cell r="F125">
            <v>120461294.590149</v>
          </cell>
          <cell r="G125">
            <v>99.413670561215</v>
          </cell>
          <cell r="H125">
            <v>61518209.9918823</v>
          </cell>
          <cell r="I125" t="str">
            <v>Internet</v>
          </cell>
          <cell r="R125">
            <v>1017625.85098267</v>
          </cell>
          <cell r="S125">
            <v>-108455.457061768</v>
          </cell>
          <cell r="T125">
            <v>-0.0952294297111428</v>
          </cell>
          <cell r="U125">
            <v>1126081.30804443</v>
          </cell>
          <cell r="V125">
            <v>0.0952294297111393</v>
          </cell>
          <cell r="W125">
            <v>-1855949.2237854</v>
          </cell>
        </row>
        <row r="126">
          <cell r="A126" t="str">
            <v>Total US - Kmart.com</v>
          </cell>
          <cell r="B126" t="str">
            <v>Total US - Internet</v>
          </cell>
          <cell r="C126">
            <v>121171760.292236</v>
          </cell>
          <cell r="D126">
            <v>2618421.93438721</v>
          </cell>
          <cell r="E126">
            <v>2.16091763301302</v>
          </cell>
          <cell r="F126">
            <v>118553338.357849</v>
          </cell>
          <cell r="G126">
            <v>97.839082366987</v>
          </cell>
          <cell r="H126">
            <v>61518209.9918823</v>
          </cell>
          <cell r="I126" t="str">
            <v>Internet</v>
          </cell>
          <cell r="O126">
            <v>5.12967829161044</v>
          </cell>
          <cell r="P126">
            <v>259917.685345998</v>
          </cell>
          <cell r="R126">
            <v>1017625.85098267</v>
          </cell>
          <cell r="S126">
            <v>-2474997.45904541</v>
          </cell>
          <cell r="T126">
            <v>-2.07815363749987</v>
          </cell>
          <cell r="U126">
            <v>3492623.31002808</v>
          </cell>
          <cell r="V126">
            <v>2.07815363749987</v>
          </cell>
          <cell r="W126">
            <v>-1855949.2237854</v>
          </cell>
          <cell r="AD126">
            <v>-1.23278726272779</v>
          </cell>
        </row>
        <row r="127">
          <cell r="A127" t="str">
            <v>Total US - Meijer.com</v>
          </cell>
          <cell r="B127" t="str">
            <v>Total US - Internet</v>
          </cell>
          <cell r="C127">
            <v>121171760.292236</v>
          </cell>
          <cell r="D127">
            <v>900783.834228516</v>
          </cell>
          <cell r="E127">
            <v>0.743394196845905</v>
          </cell>
          <cell r="F127">
            <v>120270976.458008</v>
          </cell>
          <cell r="G127">
            <v>99.2566058031541</v>
          </cell>
          <cell r="H127">
            <v>61518209.9918823</v>
          </cell>
          <cell r="I127" t="str">
            <v>Internet</v>
          </cell>
          <cell r="O127">
            <v>13.4042821471982</v>
          </cell>
          <cell r="P127">
            <v>115900.441166089</v>
          </cell>
          <cell r="R127">
            <v>1017625.85098267</v>
          </cell>
          <cell r="S127">
            <v>127350.116455078</v>
          </cell>
          <cell r="T127">
            <v>0.0996929031949667</v>
          </cell>
          <cell r="U127">
            <v>890275.734527588</v>
          </cell>
          <cell r="V127">
            <v>-0.0996929031949634</v>
          </cell>
          <cell r="W127">
            <v>-1855949.2237854</v>
          </cell>
          <cell r="AD127">
            <v>-0.504546757849878</v>
          </cell>
        </row>
        <row r="128">
          <cell r="A128" t="str">
            <v>Total US - Officedepot.com</v>
          </cell>
          <cell r="B128" t="str">
            <v>Total US - Internet</v>
          </cell>
          <cell r="C128">
            <v>121171760.292236</v>
          </cell>
          <cell r="D128">
            <v>767893.266235352</v>
          </cell>
          <cell r="E128">
            <v>0.633722960187574</v>
          </cell>
          <cell r="F128">
            <v>120403867.026001</v>
          </cell>
          <cell r="G128">
            <v>99.3662770398124</v>
          </cell>
          <cell r="H128">
            <v>61518209.9918823</v>
          </cell>
          <cell r="I128" t="str">
            <v>Internet</v>
          </cell>
          <cell r="R128">
            <v>1017625.85098267</v>
          </cell>
          <cell r="S128">
            <v>9353.68124389648</v>
          </cell>
          <cell r="T128">
            <v>0.00241752195288414</v>
          </cell>
          <cell r="U128">
            <v>1008272.16973877</v>
          </cell>
          <cell r="V128">
            <v>-0.00241752195287859</v>
          </cell>
          <cell r="W128">
            <v>-1855949.2237854</v>
          </cell>
        </row>
        <row r="129">
          <cell r="A129" t="str">
            <v>Total US - Peapod.com</v>
          </cell>
          <cell r="B129" t="str">
            <v>Total US - Internet</v>
          </cell>
          <cell r="C129">
            <v>121171760.292236</v>
          </cell>
          <cell r="D129">
            <v>340113.184143066</v>
          </cell>
          <cell r="E129">
            <v>0.280686839345073</v>
          </cell>
          <cell r="F129">
            <v>120831647.108093</v>
          </cell>
          <cell r="G129">
            <v>99.7193131606549</v>
          </cell>
          <cell r="H129">
            <v>61518209.9918823</v>
          </cell>
          <cell r="I129" t="str">
            <v>Internet</v>
          </cell>
          <cell r="R129">
            <v>1017625.85098267</v>
          </cell>
          <cell r="S129">
            <v>-43033.837890625</v>
          </cell>
          <cell r="T129">
            <v>-0.0381927596095692</v>
          </cell>
          <cell r="U129">
            <v>1060659.68887329</v>
          </cell>
          <cell r="V129">
            <v>0.0381927596095579</v>
          </cell>
          <cell r="W129">
            <v>-1855949.2237854</v>
          </cell>
        </row>
        <row r="130">
          <cell r="A130" t="str">
            <v>Total US - Petco.com</v>
          </cell>
          <cell r="B130" t="str">
            <v>Total US - Internet</v>
          </cell>
          <cell r="C130">
            <v>121171760.292236</v>
          </cell>
          <cell r="D130">
            <v>700358.380493164</v>
          </cell>
          <cell r="E130">
            <v>0.57798812099789</v>
          </cell>
          <cell r="F130">
            <v>120471401.911743</v>
          </cell>
          <cell r="G130">
            <v>99.4220118790021</v>
          </cell>
          <cell r="H130">
            <v>61518209.9918823</v>
          </cell>
          <cell r="I130" t="str">
            <v>Internet</v>
          </cell>
          <cell r="R130">
            <v>1017625.85098267</v>
          </cell>
          <cell r="S130">
            <v>-35027.3096923828</v>
          </cell>
          <cell r="T130">
            <v>-0.034047156527325</v>
          </cell>
          <cell r="U130">
            <v>1052653.16067505</v>
          </cell>
          <cell r="V130">
            <v>0.0340471565273219</v>
          </cell>
          <cell r="W130">
            <v>-1855949.2237854</v>
          </cell>
        </row>
        <row r="131">
          <cell r="A131" t="str">
            <v>Total US - Petsmart.com</v>
          </cell>
          <cell r="B131" t="str">
            <v>Total US - Internet</v>
          </cell>
          <cell r="C131">
            <v>121171760.292236</v>
          </cell>
          <cell r="D131">
            <v>859766.878295898</v>
          </cell>
          <cell r="E131">
            <v>0.709543936823525</v>
          </cell>
          <cell r="F131">
            <v>120311993.41394</v>
          </cell>
          <cell r="G131">
            <v>99.2904560631765</v>
          </cell>
          <cell r="H131">
            <v>61518209.9918823</v>
          </cell>
          <cell r="I131" t="str">
            <v>Internet</v>
          </cell>
          <cell r="R131">
            <v>1017625.85098267</v>
          </cell>
          <cell r="S131">
            <v>-34606.4739074707</v>
          </cell>
          <cell r="T131">
            <v>-0.0348111004479144</v>
          </cell>
          <cell r="U131">
            <v>1052232.32489014</v>
          </cell>
          <cell r="V131">
            <v>0.0348111004479108</v>
          </cell>
          <cell r="W131">
            <v>-1855949.2237854</v>
          </cell>
        </row>
        <row r="132">
          <cell r="A132" t="str">
            <v>Total US - Puritan.com</v>
          </cell>
          <cell r="B132" t="str">
            <v>Total US - Internet</v>
          </cell>
          <cell r="C132">
            <v>121171760.292236</v>
          </cell>
          <cell r="D132">
            <v>788125.647216797</v>
          </cell>
          <cell r="E132">
            <v>0.650420234315349</v>
          </cell>
          <cell r="F132">
            <v>120383634.64502</v>
          </cell>
          <cell r="G132">
            <v>99.3495797656847</v>
          </cell>
          <cell r="H132">
            <v>61518209.9918823</v>
          </cell>
          <cell r="I132" t="str">
            <v>Internet</v>
          </cell>
          <cell r="R132">
            <v>1017625.85098267</v>
          </cell>
          <cell r="S132">
            <v>-1038.07427978516</v>
          </cell>
          <cell r="T132">
            <v>-0.00637258031927634</v>
          </cell>
          <cell r="U132">
            <v>1018663.92526245</v>
          </cell>
          <cell r="V132">
            <v>0.00637258031927956</v>
          </cell>
          <cell r="W132">
            <v>-1855949.2237854</v>
          </cell>
        </row>
        <row r="133">
          <cell r="A133" t="str">
            <v>Total US - QVC.com</v>
          </cell>
          <cell r="B133" t="str">
            <v>Total US - Internet</v>
          </cell>
          <cell r="C133">
            <v>121171760.292236</v>
          </cell>
          <cell r="D133">
            <v>1412994.66418457</v>
          </cell>
          <cell r="E133">
            <v>1.16610888607773</v>
          </cell>
          <cell r="F133">
            <v>119758765.628052</v>
          </cell>
          <cell r="G133">
            <v>98.8338911139223</v>
          </cell>
          <cell r="H133">
            <v>61518209.9918823</v>
          </cell>
          <cell r="I133" t="str">
            <v>Internet</v>
          </cell>
          <cell r="R133">
            <v>1017625.85098267</v>
          </cell>
          <cell r="S133">
            <v>59551.6165161133</v>
          </cell>
          <cell r="T133">
            <v>0.0396865170412379</v>
          </cell>
          <cell r="U133">
            <v>958074.234466553</v>
          </cell>
          <cell r="V133">
            <v>-0.0396865170412326</v>
          </cell>
          <cell r="W133">
            <v>-1855949.2237854</v>
          </cell>
        </row>
        <row r="134">
          <cell r="A134" t="str">
            <v>Total US - Riteaid.com</v>
          </cell>
          <cell r="B134" t="str">
            <v>Total US - Internet</v>
          </cell>
          <cell r="C134">
            <v>121171760.292236</v>
          </cell>
          <cell r="D134">
            <v>544360.467102051</v>
          </cell>
          <cell r="E134">
            <v>0.44924697453366</v>
          </cell>
          <cell r="F134">
            <v>120627399.825134</v>
          </cell>
          <cell r="G134">
            <v>99.5507530254663</v>
          </cell>
          <cell r="H134">
            <v>61518209.9918823</v>
          </cell>
          <cell r="I134" t="str">
            <v>Internet</v>
          </cell>
          <cell r="R134">
            <v>1017625.85098267</v>
          </cell>
          <cell r="S134">
            <v>-34904.2798461914</v>
          </cell>
          <cell r="T134">
            <v>-0.0328544110257848</v>
          </cell>
          <cell r="U134">
            <v>1052530.13082886</v>
          </cell>
          <cell r="V134">
            <v>0.0328544110257809</v>
          </cell>
          <cell r="W134">
            <v>-1855949.2237854</v>
          </cell>
        </row>
        <row r="135">
          <cell r="A135" t="str">
            <v>Total US - Safeway.com</v>
          </cell>
          <cell r="B135" t="str">
            <v>Total US - Internet</v>
          </cell>
          <cell r="C135">
            <v>121171760.292236</v>
          </cell>
          <cell r="D135">
            <v>874812.280456543</v>
          </cell>
          <cell r="E135">
            <v>0.721960528052668</v>
          </cell>
          <cell r="F135">
            <v>120296948.01178</v>
          </cell>
          <cell r="G135">
            <v>99.2780394719473</v>
          </cell>
          <cell r="H135">
            <v>61518209.9918823</v>
          </cell>
          <cell r="I135" t="str">
            <v>Internet</v>
          </cell>
          <cell r="R135">
            <v>1017625.85098267</v>
          </cell>
          <cell r="S135">
            <v>14483.1759643555</v>
          </cell>
          <cell r="T135">
            <v>0.00593930373697593</v>
          </cell>
          <cell r="U135">
            <v>1003142.67501831</v>
          </cell>
          <cell r="V135">
            <v>-0.00593930373696594</v>
          </cell>
          <cell r="W135">
            <v>-1855949.2237854</v>
          </cell>
        </row>
        <row r="136">
          <cell r="A136" t="str">
            <v>Total US - SamsClub.com</v>
          </cell>
          <cell r="B136" t="str">
            <v>Total US - Internet</v>
          </cell>
          <cell r="C136">
            <v>121171760.292236</v>
          </cell>
          <cell r="D136">
            <v>3003065.34979248</v>
          </cell>
          <cell r="E136">
            <v>2.47835414996847</v>
          </cell>
          <cell r="F136">
            <v>118168694.942444</v>
          </cell>
          <cell r="G136">
            <v>97.5216458500315</v>
          </cell>
          <cell r="H136">
            <v>61518209.9918823</v>
          </cell>
          <cell r="I136" t="str">
            <v>Internet</v>
          </cell>
          <cell r="J136">
            <v>99.6813066661854</v>
          </cell>
          <cell r="K136">
            <v>196054.434326172</v>
          </cell>
          <cell r="M136">
            <v>4093044.57958984</v>
          </cell>
          <cell r="O136">
            <v>14.7013792702486</v>
          </cell>
          <cell r="P136">
            <v>850761.788619135</v>
          </cell>
          <cell r="R136">
            <v>1017625.85098267</v>
          </cell>
          <cell r="S136">
            <v>145751.731445313</v>
          </cell>
          <cell r="T136">
            <v>0.100313950491036</v>
          </cell>
          <cell r="U136">
            <v>871874.119537354</v>
          </cell>
          <cell r="V136">
            <v>-0.100313950491042</v>
          </cell>
          <cell r="W136">
            <v>-1855949.2237854</v>
          </cell>
          <cell r="Y136">
            <v>-0.000346890608383887</v>
          </cell>
          <cell r="Z136">
            <v>-5694.94744873047</v>
          </cell>
          <cell r="AB136">
            <v>691797.208862305</v>
          </cell>
          <cell r="AD136">
            <v>-1.91592935882234</v>
          </cell>
        </row>
        <row r="137">
          <cell r="A137" t="str">
            <v>Total US - Sears.com</v>
          </cell>
          <cell r="B137" t="str">
            <v>Total US - Internet</v>
          </cell>
          <cell r="C137">
            <v>121171760.292236</v>
          </cell>
          <cell r="D137">
            <v>1944409.14984131</v>
          </cell>
          <cell r="E137">
            <v>1.60467186838903</v>
          </cell>
          <cell r="F137">
            <v>119227351.142395</v>
          </cell>
          <cell r="G137">
            <v>98.395328131611</v>
          </cell>
          <cell r="H137">
            <v>61518209.9918823</v>
          </cell>
          <cell r="I137" t="str">
            <v>Internet</v>
          </cell>
          <cell r="R137">
            <v>1017625.85098267</v>
          </cell>
          <cell r="S137">
            <v>-244498.33203125</v>
          </cell>
          <cell r="T137">
            <v>-0.21707774684603</v>
          </cell>
          <cell r="U137">
            <v>1262124.18301392</v>
          </cell>
          <cell r="V137">
            <v>0.21707774684603</v>
          </cell>
          <cell r="W137">
            <v>-1855949.2237854</v>
          </cell>
        </row>
        <row r="138">
          <cell r="A138" t="str">
            <v>Total US - Shoprite.com</v>
          </cell>
          <cell r="B138" t="str">
            <v>Total US - Internet</v>
          </cell>
          <cell r="C138">
            <v>121171760.292236</v>
          </cell>
          <cell r="D138">
            <v>836075.473693848</v>
          </cell>
          <cell r="E138">
            <v>0.689992017675934</v>
          </cell>
          <cell r="F138">
            <v>120335684.818542</v>
          </cell>
          <cell r="G138">
            <v>99.3100079823241</v>
          </cell>
          <cell r="H138">
            <v>61518209.9918823</v>
          </cell>
          <cell r="I138" t="str">
            <v>Internet</v>
          </cell>
          <cell r="O138">
            <v>25.0228854210632</v>
          </cell>
          <cell r="P138">
            <v>130904.980163887</v>
          </cell>
          <cell r="R138">
            <v>1017625.85098267</v>
          </cell>
          <cell r="S138">
            <v>-46316.7926635742</v>
          </cell>
          <cell r="T138">
            <v>-0.0443915892309472</v>
          </cell>
          <cell r="U138">
            <v>1063942.64364624</v>
          </cell>
          <cell r="V138">
            <v>0.0443915892309406</v>
          </cell>
          <cell r="W138">
            <v>-1855949.2237854</v>
          </cell>
          <cell r="AD138">
            <v>3.06544918514447</v>
          </cell>
        </row>
        <row r="139">
          <cell r="A139" t="str">
            <v>Total US - Staples.com</v>
          </cell>
          <cell r="B139" t="str">
            <v>Total US - Internet</v>
          </cell>
          <cell r="C139">
            <v>121171760.292236</v>
          </cell>
          <cell r="D139">
            <v>2443085.70159912</v>
          </cell>
          <cell r="E139">
            <v>2.01621705891455</v>
          </cell>
          <cell r="F139">
            <v>118728674.590637</v>
          </cell>
          <cell r="G139">
            <v>97.9837829410855</v>
          </cell>
          <cell r="H139">
            <v>61518209.9918823</v>
          </cell>
          <cell r="I139" t="str">
            <v>Internet</v>
          </cell>
          <cell r="R139">
            <v>1017625.85098267</v>
          </cell>
          <cell r="S139">
            <v>27659.6783752441</v>
          </cell>
          <cell r="T139">
            <v>0.00594414200145499</v>
          </cell>
          <cell r="U139">
            <v>989966.172607422</v>
          </cell>
          <cell r="V139">
            <v>-0.00594414200145366</v>
          </cell>
          <cell r="W139">
            <v>-1855949.2237854</v>
          </cell>
        </row>
        <row r="140">
          <cell r="A140" t="str">
            <v>Total US - Target.com</v>
          </cell>
          <cell r="B140" t="str">
            <v>Total US - Internet</v>
          </cell>
          <cell r="C140">
            <v>121171760.292236</v>
          </cell>
          <cell r="D140">
            <v>5894804.65423584</v>
          </cell>
          <cell r="E140">
            <v>4.8648337203479</v>
          </cell>
          <cell r="F140">
            <v>115276955.638</v>
          </cell>
          <cell r="G140">
            <v>95.1351662796521</v>
          </cell>
          <cell r="H140">
            <v>61518209.9918823</v>
          </cell>
          <cell r="I140" t="str">
            <v>Internet</v>
          </cell>
          <cell r="J140">
            <v>99.7039418747657</v>
          </cell>
          <cell r="K140">
            <v>182129.659179688</v>
          </cell>
          <cell r="O140">
            <v>4.74806819367295</v>
          </cell>
          <cell r="P140">
            <v>1316858.25396986</v>
          </cell>
          <cell r="R140">
            <v>1017625.85098267</v>
          </cell>
          <cell r="S140">
            <v>636618.510070801</v>
          </cell>
          <cell r="T140">
            <v>0.488632960701217</v>
          </cell>
          <cell r="U140">
            <v>381007.340911865</v>
          </cell>
          <cell r="V140">
            <v>-0.488632960701224</v>
          </cell>
          <cell r="W140">
            <v>-1855949.2237854</v>
          </cell>
          <cell r="Y140">
            <v>-0.0248285183448758</v>
          </cell>
          <cell r="Z140">
            <v>10240.1762695313</v>
          </cell>
          <cell r="AD140">
            <v>-0.195777219863273</v>
          </cell>
        </row>
        <row r="141">
          <cell r="A141" t="str">
            <v>Total US - Ulta.com</v>
          </cell>
          <cell r="B141" t="str">
            <v>Total US - Internet</v>
          </cell>
          <cell r="C141">
            <v>121171760.292236</v>
          </cell>
          <cell r="D141">
            <v>654080.732788086</v>
          </cell>
          <cell r="E141">
            <v>0.539796344635586</v>
          </cell>
          <cell r="F141">
            <v>120517679.559448</v>
          </cell>
          <cell r="G141">
            <v>99.4602036553644</v>
          </cell>
          <cell r="H141">
            <v>61518209.9918823</v>
          </cell>
          <cell r="I141" t="str">
            <v>Internet</v>
          </cell>
          <cell r="R141">
            <v>1017625.85098267</v>
          </cell>
          <cell r="S141">
            <v>-66530.2734985352</v>
          </cell>
          <cell r="T141">
            <v>-0.059942490517811</v>
          </cell>
          <cell r="U141">
            <v>1084156.1244812</v>
          </cell>
          <cell r="V141">
            <v>0.0599424905178125</v>
          </cell>
          <cell r="W141">
            <v>-1855949.2237854</v>
          </cell>
        </row>
        <row r="142">
          <cell r="A142" t="str">
            <v>Total US - Vitacost.com</v>
          </cell>
          <cell r="B142" t="str">
            <v>Total US - Internet</v>
          </cell>
          <cell r="C142">
            <v>121171760.292236</v>
          </cell>
          <cell r="D142">
            <v>838311.959472656</v>
          </cell>
          <cell r="E142">
            <v>0.691837733025298</v>
          </cell>
          <cell r="F142">
            <v>120333448.332764</v>
          </cell>
          <cell r="G142">
            <v>99.3081622669747</v>
          </cell>
          <cell r="H142">
            <v>61518209.9918823</v>
          </cell>
          <cell r="I142" t="str">
            <v>Internet</v>
          </cell>
          <cell r="R142">
            <v>1017625.85098267</v>
          </cell>
          <cell r="S142">
            <v>123364.483978271</v>
          </cell>
          <cell r="T142">
            <v>0.096812452522828</v>
          </cell>
          <cell r="U142">
            <v>894261.367004395</v>
          </cell>
          <cell r="V142">
            <v>-0.0968124525228262</v>
          </cell>
          <cell r="W142">
            <v>-1855949.2237854</v>
          </cell>
        </row>
        <row r="143">
          <cell r="A143" t="str">
            <v>Total US - Vitaminshop.com</v>
          </cell>
          <cell r="B143" t="str">
            <v>Total US - Internet</v>
          </cell>
          <cell r="C143">
            <v>121171760.292236</v>
          </cell>
          <cell r="D143">
            <v>1571952.77203369</v>
          </cell>
          <cell r="E143">
            <v>1.29729300642537</v>
          </cell>
          <cell r="F143">
            <v>119599807.520203</v>
          </cell>
          <cell r="G143">
            <v>98.7027069935746</v>
          </cell>
          <cell r="H143">
            <v>61518209.9918823</v>
          </cell>
          <cell r="I143" t="str">
            <v>Internet</v>
          </cell>
          <cell r="R143">
            <v>1017625.85098267</v>
          </cell>
          <cell r="S143">
            <v>-69831.3343505859</v>
          </cell>
          <cell r="T143">
            <v>-0.0691053401808304</v>
          </cell>
          <cell r="U143">
            <v>1087457.18533325</v>
          </cell>
          <cell r="V143">
            <v>0.0691053401808404</v>
          </cell>
          <cell r="W143">
            <v>-1855949.2237854</v>
          </cell>
        </row>
        <row r="144">
          <cell r="A144" t="str">
            <v>Total US - Walgreens.com</v>
          </cell>
          <cell r="B144" t="str">
            <v>Total US - Internet</v>
          </cell>
          <cell r="C144">
            <v>121171760.292236</v>
          </cell>
          <cell r="D144">
            <v>3271487.08978271</v>
          </cell>
          <cell r="E144">
            <v>2.69987584722108</v>
          </cell>
          <cell r="F144">
            <v>117900273.202454</v>
          </cell>
          <cell r="G144">
            <v>97.3001241527789</v>
          </cell>
          <cell r="H144">
            <v>61518209.9918823</v>
          </cell>
          <cell r="I144" t="str">
            <v>Internet</v>
          </cell>
          <cell r="O144">
            <v>6.10309658169106</v>
          </cell>
          <cell r="P144">
            <v>527075.955890605</v>
          </cell>
          <cell r="R144">
            <v>1017625.85098267</v>
          </cell>
          <cell r="S144">
            <v>-255671.661560059</v>
          </cell>
          <cell r="T144">
            <v>-0.235652561971769</v>
          </cell>
          <cell r="U144">
            <v>1273297.51254272</v>
          </cell>
          <cell r="V144">
            <v>0.235652561971776</v>
          </cell>
          <cell r="W144">
            <v>-1855949.2237854</v>
          </cell>
          <cell r="AD144">
            <v>0.335536092543816</v>
          </cell>
        </row>
        <row r="145">
          <cell r="A145" t="str">
            <v>Total US - Walmart.com</v>
          </cell>
          <cell r="B145" t="str">
            <v>Total US - Internet</v>
          </cell>
          <cell r="C145">
            <v>121171760.292236</v>
          </cell>
          <cell r="D145">
            <v>12606965.0080566</v>
          </cell>
          <cell r="E145">
            <v>10.4042105005752</v>
          </cell>
          <cell r="F145">
            <v>108564795.28418</v>
          </cell>
          <cell r="G145">
            <v>89.5957894994248</v>
          </cell>
          <cell r="H145">
            <v>61518209.9918823</v>
          </cell>
          <cell r="I145" t="str">
            <v>Internet</v>
          </cell>
          <cell r="J145">
            <v>99.4521868943263</v>
          </cell>
          <cell r="K145">
            <v>337004.816711426</v>
          </cell>
          <cell r="M145">
            <v>3300566.72251892</v>
          </cell>
          <cell r="O145">
            <v>8.96148905162194</v>
          </cell>
          <cell r="P145">
            <v>2337191.39306184</v>
          </cell>
          <cell r="R145">
            <v>1017625.85098267</v>
          </cell>
          <cell r="S145">
            <v>-1315948.34698486</v>
          </cell>
          <cell r="T145">
            <v>-1.18333363162342</v>
          </cell>
          <cell r="U145">
            <v>2333574.19796753</v>
          </cell>
          <cell r="V145">
            <v>1.18333363162343</v>
          </cell>
          <cell r="W145">
            <v>-1855949.2237854</v>
          </cell>
          <cell r="Y145">
            <v>0.286755562971095</v>
          </cell>
          <cell r="Z145">
            <v>-191896.060119629</v>
          </cell>
          <cell r="AB145">
            <v>-691108.431259155</v>
          </cell>
          <cell r="AD145">
            <v>-0.906634730045075</v>
          </cell>
        </row>
        <row r="146">
          <cell r="A146" t="str">
            <v>Total US - Liquor</v>
          </cell>
          <cell r="B146" t="str">
            <v>Total US - Liquor</v>
          </cell>
          <cell r="C146">
            <v>121171760.292236</v>
          </cell>
          <cell r="D146">
            <v>24268648.1451721</v>
          </cell>
          <cell r="E146">
            <v>20.0283036960445</v>
          </cell>
          <cell r="F146">
            <v>96903112.1470642</v>
          </cell>
          <cell r="G146">
            <v>79.9716963039555</v>
          </cell>
          <cell r="H146">
            <v>61518209.9918823</v>
          </cell>
          <cell r="I146" t="str">
            <v>Liquor</v>
          </cell>
          <cell r="O146">
            <v>0.385244452976824</v>
          </cell>
          <cell r="P146">
            <v>2035519.2421169</v>
          </cell>
          <cell r="R146">
            <v>1017625.85098267</v>
          </cell>
          <cell r="S146">
            <v>263107.1668396</v>
          </cell>
          <cell r="T146">
            <v>0.0493482568794406</v>
          </cell>
          <cell r="U146">
            <v>754518.684143066</v>
          </cell>
          <cell r="V146">
            <v>-0.0493482568794406</v>
          </cell>
          <cell r="W146">
            <v>-1855949.2237854</v>
          </cell>
        </row>
        <row r="147">
          <cell r="A147" t="str">
            <v>Total US - ABC Liquor Stores</v>
          </cell>
          <cell r="B147" t="str">
            <v>Total US - Liquor</v>
          </cell>
          <cell r="C147">
            <v>121171760.292236</v>
          </cell>
          <cell r="D147">
            <v>3477309.80792236</v>
          </cell>
          <cell r="E147">
            <v>2.86973614936017</v>
          </cell>
          <cell r="F147">
            <v>117694450.484314</v>
          </cell>
          <cell r="G147">
            <v>97.1302638506398</v>
          </cell>
          <cell r="H147">
            <v>61518209.9918823</v>
          </cell>
          <cell r="I147" t="str">
            <v>Liquor</v>
          </cell>
          <cell r="R147">
            <v>1017625.85098267</v>
          </cell>
          <cell r="S147">
            <v>249326.309753418</v>
          </cell>
          <cell r="T147">
            <v>0.183200631310908</v>
          </cell>
          <cell r="U147">
            <v>768299.541229248</v>
          </cell>
          <cell r="V147">
            <v>-0.18320063131091</v>
          </cell>
          <cell r="W147">
            <v>-1855949.2237854</v>
          </cell>
        </row>
        <row r="148">
          <cell r="A148" t="str">
            <v>Total US - Beverages &amp; More</v>
          </cell>
          <cell r="B148" t="str">
            <v>Total US - Liquor</v>
          </cell>
          <cell r="C148">
            <v>121171760.292236</v>
          </cell>
          <cell r="D148">
            <v>1459379.71051025</v>
          </cell>
          <cell r="E148">
            <v>1.20438929581496</v>
          </cell>
          <cell r="F148">
            <v>119712380.581726</v>
          </cell>
          <cell r="G148">
            <v>98.795610704185</v>
          </cell>
          <cell r="H148">
            <v>61518209.9918823</v>
          </cell>
          <cell r="I148" t="str">
            <v>Liquor</v>
          </cell>
          <cell r="R148">
            <v>1017625.85098267</v>
          </cell>
          <cell r="S148">
            <v>-46000.1362304688</v>
          </cell>
          <cell r="T148">
            <v>-0.048484651254038</v>
          </cell>
          <cell r="U148">
            <v>1063625.98721313</v>
          </cell>
          <cell r="V148">
            <v>0.0484846512540287</v>
          </cell>
          <cell r="W148">
            <v>-1855949.2237854</v>
          </cell>
        </row>
        <row r="149">
          <cell r="A149" t="str">
            <v>Total US - Total Wine &amp; More</v>
          </cell>
          <cell r="B149" t="str">
            <v>Total US - Liquor</v>
          </cell>
          <cell r="C149">
            <v>121171760.292236</v>
          </cell>
          <cell r="D149">
            <v>2861088.72412109</v>
          </cell>
          <cell r="E149">
            <v>2.36118441889501</v>
          </cell>
          <cell r="F149">
            <v>118310671.568115</v>
          </cell>
          <cell r="G149">
            <v>97.638815581105</v>
          </cell>
          <cell r="H149">
            <v>61518209.9918823</v>
          </cell>
          <cell r="I149" t="str">
            <v>Liquor</v>
          </cell>
          <cell r="R149">
            <v>1017625.85098267</v>
          </cell>
          <cell r="S149">
            <v>414627.824859619</v>
          </cell>
          <cell r="T149">
            <v>0.325082281720853</v>
          </cell>
          <cell r="U149">
            <v>602998.026123047</v>
          </cell>
          <cell r="V149">
            <v>-0.325082281720853</v>
          </cell>
          <cell r="W149">
            <v>-1855949.2237854</v>
          </cell>
        </row>
        <row r="150">
          <cell r="A150" t="str">
            <v>Total US - MassX and SupercenterX</v>
          </cell>
          <cell r="B150" t="str">
            <v>Total US - MassX and SupercenterX</v>
          </cell>
          <cell r="C150">
            <v>121171760.292236</v>
          </cell>
          <cell r="D150">
            <v>82031130.5726318</v>
          </cell>
          <cell r="E150">
            <v>67.6982247140695</v>
          </cell>
          <cell r="F150">
            <v>39140629.7196045</v>
          </cell>
          <cell r="G150">
            <v>32.3017752859305</v>
          </cell>
          <cell r="H150">
            <v>61518209.9918823</v>
          </cell>
          <cell r="I150" t="str">
            <v>MassX and SupercenterX</v>
          </cell>
          <cell r="J150">
            <v>70.3889745729236</v>
          </cell>
          <cell r="K150">
            <v>18216172.8029785</v>
          </cell>
          <cell r="L150">
            <v>251482010.831684</v>
          </cell>
          <cell r="M150">
            <v>20995680.6019049</v>
          </cell>
          <cell r="N150">
            <v>6760643.21617889</v>
          </cell>
          <cell r="O150">
            <v>26.5261620018567</v>
          </cell>
          <cell r="P150">
            <v>19448588.370524</v>
          </cell>
          <cell r="R150">
            <v>1017625.85098267</v>
          </cell>
          <cell r="S150">
            <v>-2490285.07290649</v>
          </cell>
          <cell r="T150">
            <v>-2.64593450990036</v>
          </cell>
          <cell r="U150">
            <v>3507910.92388916</v>
          </cell>
          <cell r="V150">
            <v>2.64593450990036</v>
          </cell>
          <cell r="W150">
            <v>-1855949.2237854</v>
          </cell>
          <cell r="Y150">
            <v>1.99787421308633</v>
          </cell>
          <cell r="Z150">
            <v>-1815701.58129883</v>
          </cell>
          <cell r="AA150">
            <v>-46138208.7159758</v>
          </cell>
          <cell r="AB150">
            <v>-1155991.51148796</v>
          </cell>
          <cell r="AC150">
            <v>-1035146.96485233</v>
          </cell>
          <cell r="AD150">
            <v>-1.80503059275171</v>
          </cell>
        </row>
        <row r="151">
          <cell r="A151" t="str">
            <v>Total US - BI Mart</v>
          </cell>
          <cell r="B151" t="str">
            <v>Total US - MassX and SupercenterX</v>
          </cell>
          <cell r="C151">
            <v>121171760.292236</v>
          </cell>
          <cell r="D151">
            <v>1066229.06207275</v>
          </cell>
          <cell r="E151">
            <v>0.879931973837198</v>
          </cell>
          <cell r="F151">
            <v>120105531.230164</v>
          </cell>
          <cell r="G151">
            <v>99.1200680261628</v>
          </cell>
          <cell r="H151">
            <v>61518209.9918823</v>
          </cell>
          <cell r="I151" t="str">
            <v>MassX and SupercenterX</v>
          </cell>
          <cell r="O151">
            <v>20.0637398384031</v>
          </cell>
          <cell r="P151">
            <v>140863.300650543</v>
          </cell>
          <cell r="R151">
            <v>1017625.85098267</v>
          </cell>
          <cell r="S151">
            <v>37792.8460693359</v>
          </cell>
          <cell r="T151">
            <v>0.0240011972676697</v>
          </cell>
          <cell r="U151">
            <v>979833.00491333</v>
          </cell>
          <cell r="V151">
            <v>-0.0240011972676797</v>
          </cell>
          <cell r="W151">
            <v>-1855949.2237854</v>
          </cell>
          <cell r="AD151">
            <v>2.67048360961346</v>
          </cell>
        </row>
        <row r="152">
          <cell r="A152" t="str">
            <v>Total US - Kmart Corporate</v>
          </cell>
          <cell r="B152" t="str">
            <v>Total US - MassX and SupercenterX</v>
          </cell>
          <cell r="C152">
            <v>121171760.292236</v>
          </cell>
          <cell r="D152">
            <v>21829257.4463806</v>
          </cell>
          <cell r="E152">
            <v>18.0151360298256</v>
          </cell>
          <cell r="F152">
            <v>99342502.8458557</v>
          </cell>
          <cell r="G152">
            <v>81.9848639701744</v>
          </cell>
          <cell r="H152">
            <v>61518209.9918823</v>
          </cell>
          <cell r="I152" t="str">
            <v>MassX and SupercenterX</v>
          </cell>
          <cell r="J152">
            <v>97.3500170692515</v>
          </cell>
          <cell r="K152">
            <v>1630222.06408691</v>
          </cell>
          <cell r="L152">
            <v>5661746.00291061</v>
          </cell>
          <cell r="M152">
            <v>15717899.767067</v>
          </cell>
          <cell r="N152">
            <v>5661746.00291061</v>
          </cell>
          <cell r="O152">
            <v>12.6200997648544</v>
          </cell>
          <cell r="P152">
            <v>3510991.32283028</v>
          </cell>
          <cell r="R152">
            <v>1017625.85098267</v>
          </cell>
          <cell r="S152">
            <v>-3114063.35662842</v>
          </cell>
          <cell r="T152">
            <v>-2.74430010527003</v>
          </cell>
          <cell r="U152">
            <v>4131689.20761108</v>
          </cell>
          <cell r="V152">
            <v>2.74430010527001</v>
          </cell>
          <cell r="W152">
            <v>-1855949.2237854</v>
          </cell>
          <cell r="Y152">
            <v>0.168237108369752</v>
          </cell>
          <cell r="Z152">
            <v>-155801.190551758</v>
          </cell>
          <cell r="AA152">
            <v>-325423.030396461</v>
          </cell>
          <cell r="AB152">
            <v>-1051849.9287014</v>
          </cell>
          <cell r="AC152">
            <v>-325423.030396461</v>
          </cell>
          <cell r="AD152">
            <v>-0.405792470628366</v>
          </cell>
        </row>
        <row r="153">
          <cell r="A153" t="str">
            <v>Total US - Roses Discount</v>
          </cell>
          <cell r="B153" t="str">
            <v>Total US - MassX and SupercenterX</v>
          </cell>
          <cell r="C153">
            <v>121171760.292236</v>
          </cell>
          <cell r="D153">
            <v>2807958.19036865</v>
          </cell>
          <cell r="E153">
            <v>2.31733712838416</v>
          </cell>
          <cell r="F153">
            <v>118363802.101868</v>
          </cell>
          <cell r="G153">
            <v>97.6826628716158</v>
          </cell>
          <cell r="H153">
            <v>61518209.9918823</v>
          </cell>
          <cell r="I153" t="str">
            <v>MassX and SupercenterX</v>
          </cell>
          <cell r="J153">
            <v>99.8410145603132</v>
          </cell>
          <cell r="K153">
            <v>97804.9966430664</v>
          </cell>
          <cell r="M153">
            <v>680554.556854248</v>
          </cell>
          <cell r="O153">
            <v>8.62979593609758</v>
          </cell>
          <cell r="P153">
            <v>204376.176675136</v>
          </cell>
          <cell r="R153">
            <v>1017625.85098267</v>
          </cell>
          <cell r="S153">
            <v>-139082.549499512</v>
          </cell>
          <cell r="T153">
            <v>-0.135379753621295</v>
          </cell>
          <cell r="U153">
            <v>1156708.40048218</v>
          </cell>
          <cell r="V153">
            <v>0.135379753621294</v>
          </cell>
          <cell r="W153">
            <v>-1855949.2237854</v>
          </cell>
          <cell r="AD153">
            <v>-0.266268325958075</v>
          </cell>
        </row>
        <row r="154">
          <cell r="A154" t="str">
            <v>Total US - Shopko</v>
          </cell>
          <cell r="B154" t="str">
            <v>Total US - MassX and SupercenterX</v>
          </cell>
          <cell r="C154">
            <v>121171760.292236</v>
          </cell>
          <cell r="D154">
            <v>3730341.5111084</v>
          </cell>
          <cell r="E154">
            <v>3.0785568370978</v>
          </cell>
          <cell r="F154">
            <v>117441418.781128</v>
          </cell>
          <cell r="G154">
            <v>96.9214431629022</v>
          </cell>
          <cell r="H154">
            <v>61518209.9918823</v>
          </cell>
          <cell r="I154" t="str">
            <v>MassX and SupercenterX</v>
          </cell>
          <cell r="J154">
            <v>99.6939347976019</v>
          </cell>
          <cell r="K154">
            <v>188285.83392334</v>
          </cell>
          <cell r="M154">
            <v>1334682.04094315</v>
          </cell>
          <cell r="O154">
            <v>10.5337763680959</v>
          </cell>
          <cell r="P154">
            <v>538071.547782395</v>
          </cell>
          <cell r="R154">
            <v>1017625.85098267</v>
          </cell>
          <cell r="S154">
            <v>-243913.949951172</v>
          </cell>
          <cell r="T154">
            <v>-0.229074214917878</v>
          </cell>
          <cell r="U154">
            <v>1261539.80093384</v>
          </cell>
          <cell r="V154">
            <v>0.229074214917873</v>
          </cell>
          <cell r="W154">
            <v>-1855949.2237854</v>
          </cell>
          <cell r="Y154">
            <v>-0.00710420965548053</v>
          </cell>
          <cell r="Z154">
            <v>-1178.18161010742</v>
          </cell>
          <cell r="AB154">
            <v>265695.411927223</v>
          </cell>
          <cell r="AD154">
            <v>1.01158204211623</v>
          </cell>
        </row>
        <row r="155">
          <cell r="A155" t="str">
            <v>Total US - Military</v>
          </cell>
          <cell r="B155" t="str">
            <v>Total US - Military</v>
          </cell>
          <cell r="C155">
            <v>121171760.292236</v>
          </cell>
          <cell r="D155">
            <v>4401775.03637695</v>
          </cell>
          <cell r="E155">
            <v>3.63267400404266</v>
          </cell>
          <cell r="F155">
            <v>116769985.255859</v>
          </cell>
          <cell r="G155">
            <v>96.3673259959573</v>
          </cell>
          <cell r="H155">
            <v>61518209.9918823</v>
          </cell>
          <cell r="I155" t="str">
            <v>Military</v>
          </cell>
          <cell r="J155">
            <v>98.2430311885179</v>
          </cell>
          <cell r="K155">
            <v>1080855.76293945</v>
          </cell>
          <cell r="L155">
            <v>3768044.61592293</v>
          </cell>
          <cell r="M155">
            <v>25203447.742321</v>
          </cell>
          <cell r="N155">
            <v>3768044.61592293</v>
          </cell>
          <cell r="O155">
            <v>42.9967906752831</v>
          </cell>
          <cell r="P155">
            <v>1374392.89129248</v>
          </cell>
          <cell r="R155">
            <v>1017625.85098267</v>
          </cell>
          <cell r="S155">
            <v>-167155.785644531</v>
          </cell>
          <cell r="T155">
            <v>-0.169884137854113</v>
          </cell>
          <cell r="U155">
            <v>1184781.6366272</v>
          </cell>
          <cell r="V155">
            <v>0.169884137854112</v>
          </cell>
          <cell r="W155">
            <v>-1855949.2237854</v>
          </cell>
          <cell r="Y155">
            <v>0.207192755998804</v>
          </cell>
          <cell r="Z155">
            <v>-163915.116088867</v>
          </cell>
          <cell r="AA155">
            <v>-747217.634382248</v>
          </cell>
          <cell r="AB155">
            <v>-1451821.58564854</v>
          </cell>
          <cell r="AC155">
            <v>-747217.634382248</v>
          </cell>
          <cell r="AD155">
            <v>-4.92066059042629</v>
          </cell>
        </row>
        <row r="156">
          <cell r="A156" t="str">
            <v>Total US - DeCA Commissary</v>
          </cell>
          <cell r="B156" t="str">
            <v>Total US - Military</v>
          </cell>
          <cell r="C156">
            <v>121171760.292236</v>
          </cell>
          <cell r="D156">
            <v>3241989.70959473</v>
          </cell>
          <cell r="E156">
            <v>2.67553240274454</v>
          </cell>
          <cell r="F156">
            <v>117929770.582642</v>
          </cell>
          <cell r="G156">
            <v>97.3244675972555</v>
          </cell>
          <cell r="H156">
            <v>61518209.9918823</v>
          </cell>
          <cell r="I156" t="str">
            <v>Military</v>
          </cell>
          <cell r="J156">
            <v>98.4029293732189</v>
          </cell>
          <cell r="K156">
            <v>982489.261901855</v>
          </cell>
          <cell r="L156">
            <v>3160446.36055183</v>
          </cell>
          <cell r="M156">
            <v>22995505.5122375</v>
          </cell>
          <cell r="N156">
            <v>3160446.36055183</v>
          </cell>
          <cell r="O156">
            <v>52.6143570049866</v>
          </cell>
          <cell r="P156">
            <v>988645.675027707</v>
          </cell>
          <cell r="R156">
            <v>1017625.85098267</v>
          </cell>
          <cell r="S156">
            <v>-192988.888427734</v>
          </cell>
          <cell r="T156">
            <v>-0.183277753057386</v>
          </cell>
          <cell r="U156">
            <v>1210614.7394104</v>
          </cell>
          <cell r="V156">
            <v>0.183277753057396</v>
          </cell>
          <cell r="W156">
            <v>-1855949.2237854</v>
          </cell>
          <cell r="Y156">
            <v>0.145742447758892</v>
          </cell>
          <cell r="Z156">
            <v>-122003.870788574</v>
          </cell>
          <cell r="AA156">
            <v>-198922.560651779</v>
          </cell>
          <cell r="AB156">
            <v>-1159176.88612366</v>
          </cell>
          <cell r="AC156">
            <v>-198922.560651779</v>
          </cell>
          <cell r="AD156">
            <v>-3.38754295034757</v>
          </cell>
        </row>
        <row r="157">
          <cell r="A157" t="str">
            <v>Total US - Pet</v>
          </cell>
          <cell r="B157" t="str">
            <v>Total US - Pet</v>
          </cell>
          <cell r="C157">
            <v>121171760.292236</v>
          </cell>
          <cell r="D157">
            <v>43753123.5364075</v>
          </cell>
          <cell r="E157">
            <v>36.1083501889267</v>
          </cell>
          <cell r="F157">
            <v>77418636.7558289</v>
          </cell>
          <cell r="G157">
            <v>63.8916498110733</v>
          </cell>
          <cell r="H157">
            <v>61518209.9918823</v>
          </cell>
          <cell r="I157" t="str">
            <v>Pet</v>
          </cell>
          <cell r="J157">
            <v>99.8105481731409</v>
          </cell>
          <cell r="K157">
            <v>116547.372680664</v>
          </cell>
          <cell r="M157">
            <v>656630.931091309</v>
          </cell>
          <cell r="O157">
            <v>0.554462341665702</v>
          </cell>
          <cell r="P157">
            <v>3912396.11957683</v>
          </cell>
          <cell r="R157">
            <v>1017625.85098267</v>
          </cell>
          <cell r="S157">
            <v>-1170194.5763855</v>
          </cell>
          <cell r="T157">
            <v>-1.27972498775991</v>
          </cell>
          <cell r="U157">
            <v>2187820.42736816</v>
          </cell>
          <cell r="V157">
            <v>1.27972498775991</v>
          </cell>
          <cell r="W157">
            <v>-1855949.2237854</v>
          </cell>
          <cell r="Y157">
            <v>0.0238162996008811</v>
          </cell>
          <cell r="Z157">
            <v>-18609.5093383789</v>
          </cell>
          <cell r="AB157">
            <v>-482147.950637817</v>
          </cell>
          <cell r="AD157">
            <v>-0.0394399245567916</v>
          </cell>
        </row>
        <row r="158">
          <cell r="A158" t="str">
            <v>Total US - Pet Supermarket</v>
          </cell>
          <cell r="B158" t="str">
            <v>Total US - Pet</v>
          </cell>
          <cell r="C158">
            <v>121171760.292236</v>
          </cell>
          <cell r="D158">
            <v>1458707.23352051</v>
          </cell>
          <cell r="E158">
            <v>1.20383431750308</v>
          </cell>
          <cell r="F158">
            <v>119713053.058716</v>
          </cell>
          <cell r="G158">
            <v>98.7961656824969</v>
          </cell>
          <cell r="H158">
            <v>61518209.9918823</v>
          </cell>
          <cell r="I158" t="str">
            <v>Pet</v>
          </cell>
          <cell r="R158">
            <v>1017625.85098267</v>
          </cell>
          <cell r="S158">
            <v>61548.1950683594</v>
          </cell>
          <cell r="T158">
            <v>0.0410286887585629</v>
          </cell>
          <cell r="U158">
            <v>956077.655914307</v>
          </cell>
          <cell r="V158">
            <v>-0.0410286887585727</v>
          </cell>
          <cell r="W158">
            <v>-1855949.2237854</v>
          </cell>
        </row>
        <row r="159">
          <cell r="A159" t="str">
            <v>Total US - Pet Supplies Plus</v>
          </cell>
          <cell r="B159" t="str">
            <v>Total US - Pet</v>
          </cell>
          <cell r="C159">
            <v>121171760.292236</v>
          </cell>
          <cell r="D159">
            <v>3258505.65899658</v>
          </cell>
          <cell r="E159">
            <v>2.68916259955114</v>
          </cell>
          <cell r="F159">
            <v>117913254.63324</v>
          </cell>
          <cell r="G159">
            <v>97.3108374004489</v>
          </cell>
          <cell r="H159">
            <v>61518209.9918823</v>
          </cell>
          <cell r="I159" t="str">
            <v>Pet</v>
          </cell>
          <cell r="R159">
            <v>1017625.85098267</v>
          </cell>
          <cell r="S159">
            <v>114583.911956787</v>
          </cell>
          <cell r="T159">
            <v>0.0725886783458463</v>
          </cell>
          <cell r="U159">
            <v>903041.939025879</v>
          </cell>
          <cell r="V159">
            <v>-0.0725886783458378</v>
          </cell>
          <cell r="W159">
            <v>-1855949.2237854</v>
          </cell>
        </row>
        <row r="160">
          <cell r="A160" t="str">
            <v>Total US - Petco</v>
          </cell>
          <cell r="B160" t="str">
            <v>Total US - Pet</v>
          </cell>
          <cell r="C160">
            <v>121171760.292236</v>
          </cell>
          <cell r="D160">
            <v>12284535.4778748</v>
          </cell>
          <cell r="E160">
            <v>10.138117535181</v>
          </cell>
          <cell r="F160">
            <v>108887224.814362</v>
          </cell>
          <cell r="G160">
            <v>89.8618824648189</v>
          </cell>
          <cell r="H160">
            <v>61518209.9918823</v>
          </cell>
          <cell r="I160" t="str">
            <v>Pet</v>
          </cell>
          <cell r="R160">
            <v>1017625.85098267</v>
          </cell>
          <cell r="S160">
            <v>-336320.3828125</v>
          </cell>
          <cell r="T160">
            <v>-0.365770590997338</v>
          </cell>
          <cell r="U160">
            <v>1353946.23379517</v>
          </cell>
          <cell r="V160">
            <v>0.365770590997329</v>
          </cell>
          <cell r="W160">
            <v>-1855949.2237854</v>
          </cell>
        </row>
        <row r="161">
          <cell r="A161" t="str">
            <v>Total US - Petsmart</v>
          </cell>
          <cell r="B161" t="str">
            <v>Total US - Pet</v>
          </cell>
          <cell r="C161">
            <v>121171760.292236</v>
          </cell>
          <cell r="D161">
            <v>18359285.0797729</v>
          </cell>
          <cell r="E161">
            <v>15.1514552858644</v>
          </cell>
          <cell r="F161">
            <v>102812475.212463</v>
          </cell>
          <cell r="G161">
            <v>84.8485447141356</v>
          </cell>
          <cell r="H161">
            <v>61518209.9918823</v>
          </cell>
          <cell r="I161" t="str">
            <v>Pet</v>
          </cell>
          <cell r="R161">
            <v>1017625.85098267</v>
          </cell>
          <cell r="S161">
            <v>-1225974.67776489</v>
          </cell>
          <cell r="T161">
            <v>-1.14865777192937</v>
          </cell>
          <cell r="U161">
            <v>2243600.52874756</v>
          </cell>
          <cell r="V161">
            <v>1.14865777192938</v>
          </cell>
          <cell r="W161">
            <v>-1855949.2237854</v>
          </cell>
        </row>
        <row r="162">
          <cell r="A162" t="str">
            <v>Total US - Tractor Supply Company</v>
          </cell>
          <cell r="B162" t="str">
            <v>Total US - Pet</v>
          </cell>
          <cell r="C162">
            <v>121171760.292236</v>
          </cell>
          <cell r="D162">
            <v>8003919.50128174</v>
          </cell>
          <cell r="E162">
            <v>6.60543304972897</v>
          </cell>
          <cell r="F162">
            <v>113167840.790955</v>
          </cell>
          <cell r="G162">
            <v>93.394566950271</v>
          </cell>
          <cell r="H162">
            <v>61518209.9918823</v>
          </cell>
          <cell r="I162" t="str">
            <v>Pet</v>
          </cell>
          <cell r="R162">
            <v>1017625.85098267</v>
          </cell>
          <cell r="S162">
            <v>280871.321807861</v>
          </cell>
          <cell r="T162">
            <v>0.177815543774673</v>
          </cell>
          <cell r="U162">
            <v>736754.529174805</v>
          </cell>
          <cell r="V162">
            <v>-0.177815543774685</v>
          </cell>
          <cell r="W162">
            <v>-1855949.2237854</v>
          </cell>
        </row>
        <row r="163">
          <cell r="A163" t="str">
            <v>Total US - Specialty Stores</v>
          </cell>
          <cell r="B163" t="str">
            <v>Total US - Specialty Stores</v>
          </cell>
          <cell r="C163">
            <v>121171760.292236</v>
          </cell>
          <cell r="D163">
            <v>108365268.113892</v>
          </cell>
          <cell r="E163">
            <v>89.4311247542673</v>
          </cell>
          <cell r="F163">
            <v>12806492.1783447</v>
          </cell>
          <cell r="G163">
            <v>10.5688752457327</v>
          </cell>
          <cell r="H163">
            <v>61518209.9918823</v>
          </cell>
          <cell r="I163" t="str">
            <v>Specialty Stores</v>
          </cell>
          <cell r="J163">
            <v>93.1259299153081</v>
          </cell>
          <cell r="K163">
            <v>4228804.86968994</v>
          </cell>
          <cell r="L163">
            <v>9705934.69263077</v>
          </cell>
          <cell r="M163">
            <v>32021384.8136935</v>
          </cell>
          <cell r="N163">
            <v>9705934.69263077</v>
          </cell>
          <cell r="O163">
            <v>7.31757626367684</v>
          </cell>
          <cell r="P163">
            <v>11972146.6371711</v>
          </cell>
          <cell r="R163">
            <v>1017625.85098267</v>
          </cell>
          <cell r="S163">
            <v>-1290689.20687866</v>
          </cell>
          <cell r="T163">
            <v>-1.83161691558658</v>
          </cell>
          <cell r="U163">
            <v>2308315.05786133</v>
          </cell>
          <cell r="V163">
            <v>1.83161691558658</v>
          </cell>
          <cell r="W163">
            <v>-1855949.2237854</v>
          </cell>
          <cell r="Y163">
            <v>0.646847733846855</v>
          </cell>
          <cell r="Z163">
            <v>-537513.563110352</v>
          </cell>
          <cell r="AA163">
            <v>-2086119.17891598</v>
          </cell>
          <cell r="AB163">
            <v>-1306891.42715931</v>
          </cell>
          <cell r="AC163">
            <v>-2086119.17891598</v>
          </cell>
          <cell r="AD163">
            <v>-0.641455963386476</v>
          </cell>
        </row>
        <row r="164">
          <cell r="A164" t="str">
            <v>Total US - Bed Bath &amp; Beyond</v>
          </cell>
          <cell r="B164" t="str">
            <v>Total US - Specialty Stores</v>
          </cell>
          <cell r="C164">
            <v>121171760.292236</v>
          </cell>
          <cell r="D164">
            <v>27206122.8131714</v>
          </cell>
          <cell r="E164">
            <v>22.4525275093445</v>
          </cell>
          <cell r="F164">
            <v>93965637.4790649</v>
          </cell>
          <cell r="G164">
            <v>77.5474724906555</v>
          </cell>
          <cell r="H164">
            <v>61518209.9918823</v>
          </cell>
          <cell r="I164" t="str">
            <v>Specialty Stores</v>
          </cell>
          <cell r="J164">
            <v>99.6707890670723</v>
          </cell>
          <cell r="K164">
            <v>202524.673034668</v>
          </cell>
          <cell r="M164">
            <v>204119.599936485</v>
          </cell>
          <cell r="O164">
            <v>1.05059917500096</v>
          </cell>
          <cell r="P164">
            <v>3159315.1795945</v>
          </cell>
          <cell r="R164">
            <v>1017625.85098267</v>
          </cell>
          <cell r="S164">
            <v>-1295763.21151733</v>
          </cell>
          <cell r="T164">
            <v>-1.26857551988497</v>
          </cell>
          <cell r="U164">
            <v>2313389.0625</v>
          </cell>
          <cell r="V164">
            <v>1.26857551988496</v>
          </cell>
          <cell r="W164">
            <v>-1855949.2237854</v>
          </cell>
          <cell r="Y164">
            <v>0.106977100588679</v>
          </cell>
          <cell r="Z164">
            <v>-73905.8258056641</v>
          </cell>
          <cell r="AB164">
            <v>-81741.0741181374</v>
          </cell>
          <cell r="AD164">
            <v>-0.340569569905068</v>
          </cell>
        </row>
        <row r="165">
          <cell r="A165" t="str">
            <v>Total US - Big Lots</v>
          </cell>
          <cell r="B165" t="str">
            <v>Total US - Specialty Stores</v>
          </cell>
          <cell r="C165">
            <v>121171760.292236</v>
          </cell>
          <cell r="D165">
            <v>25173922.763031</v>
          </cell>
          <cell r="E165">
            <v>20.7754040234439</v>
          </cell>
          <cell r="F165">
            <v>95997837.5292053</v>
          </cell>
          <cell r="G165">
            <v>79.2245959765561</v>
          </cell>
          <cell r="H165">
            <v>61518209.9918823</v>
          </cell>
          <cell r="I165" t="str">
            <v>Specialty Stores</v>
          </cell>
          <cell r="J165">
            <v>96.6505926600777</v>
          </cell>
          <cell r="K165">
            <v>2060495.44085693</v>
          </cell>
          <cell r="L165">
            <v>6026270.18945503</v>
          </cell>
          <cell r="M165">
            <v>15598401.8228078</v>
          </cell>
          <cell r="N165">
            <v>6026270.18945503</v>
          </cell>
          <cell r="O165">
            <v>13.8396064881875</v>
          </cell>
          <cell r="P165">
            <v>2325334.7991042</v>
          </cell>
          <cell r="R165">
            <v>1017625.85098267</v>
          </cell>
          <cell r="S165">
            <v>-1753866.53997803</v>
          </cell>
          <cell r="T165">
            <v>-1.63563445494883</v>
          </cell>
          <cell r="U165">
            <v>2771492.39096069</v>
          </cell>
          <cell r="V165">
            <v>1.63563445494883</v>
          </cell>
          <cell r="W165">
            <v>-1855949.2237854</v>
          </cell>
          <cell r="Y165">
            <v>0.145578043381676</v>
          </cell>
          <cell r="Z165">
            <v>-154422.160522461</v>
          </cell>
          <cell r="AA165">
            <v>-665427.471364975</v>
          </cell>
          <cell r="AB165">
            <v>-3342279.69213247</v>
          </cell>
          <cell r="AC165">
            <v>-665427.471364975</v>
          </cell>
          <cell r="AD165">
            <v>0.317144792388563</v>
          </cell>
        </row>
        <row r="166">
          <cell r="A166" t="str">
            <v>Total US - Cost Plus World Market</v>
          </cell>
          <cell r="B166" t="str">
            <v>Total US - Specialty Stores</v>
          </cell>
          <cell r="C166">
            <v>121171760.292236</v>
          </cell>
          <cell r="D166">
            <v>3773851.12518311</v>
          </cell>
          <cell r="E166">
            <v>3.11446422506491</v>
          </cell>
          <cell r="F166">
            <v>117397909.167053</v>
          </cell>
          <cell r="G166">
            <v>96.8855357749351</v>
          </cell>
          <cell r="H166">
            <v>61518209.9918823</v>
          </cell>
          <cell r="I166" t="str">
            <v>Specialty Stores</v>
          </cell>
          <cell r="R166">
            <v>1017625.85098267</v>
          </cell>
          <cell r="S166">
            <v>-148233.384613037</v>
          </cell>
          <cell r="T166">
            <v>-0.149746805237797</v>
          </cell>
          <cell r="U166">
            <v>1165859.2355957</v>
          </cell>
          <cell r="V166">
            <v>0.149746805237797</v>
          </cell>
          <cell r="W166">
            <v>-1855949.2237854</v>
          </cell>
        </row>
        <row r="167">
          <cell r="A167" t="str">
            <v>Total US - Kohls</v>
          </cell>
          <cell r="B167" t="str">
            <v>Total US - Specialty Stores</v>
          </cell>
          <cell r="C167">
            <v>121171760.292236</v>
          </cell>
          <cell r="D167">
            <v>34606284.1588135</v>
          </cell>
          <cell r="E167">
            <v>28.5596941691296</v>
          </cell>
          <cell r="F167">
            <v>86565476.1334229</v>
          </cell>
          <cell r="G167">
            <v>71.4403058308704</v>
          </cell>
          <cell r="H167">
            <v>61518209.9918823</v>
          </cell>
          <cell r="I167" t="str">
            <v>Specialty Stores</v>
          </cell>
          <cell r="R167">
            <v>1017625.85098267</v>
          </cell>
          <cell r="S167">
            <v>-1779445.8371582</v>
          </cell>
          <cell r="T167">
            <v>-1.72285096772676</v>
          </cell>
          <cell r="U167">
            <v>2797071.68814087</v>
          </cell>
          <cell r="V167">
            <v>1.72285096772676</v>
          </cell>
          <cell r="W167">
            <v>-1855949.2237854</v>
          </cell>
        </row>
        <row r="168">
          <cell r="A168" t="str">
            <v>Total US - Office Depot / Office Max</v>
          </cell>
          <cell r="B168" t="str">
            <v>Total US - Specialty Stores</v>
          </cell>
          <cell r="C168">
            <v>121171760.292236</v>
          </cell>
          <cell r="D168">
            <v>18011089.6371765</v>
          </cell>
          <cell r="E168">
            <v>14.8640983623067</v>
          </cell>
          <cell r="F168">
            <v>103160670.65506</v>
          </cell>
          <cell r="G168">
            <v>85.1359016376933</v>
          </cell>
          <cell r="H168">
            <v>61518209.9918823</v>
          </cell>
          <cell r="I168" t="str">
            <v>Specialty Stores</v>
          </cell>
          <cell r="R168">
            <v>1017625.85098267</v>
          </cell>
          <cell r="S168">
            <v>-1582038.23321533</v>
          </cell>
          <cell r="T168">
            <v>-1.44256304514691</v>
          </cell>
          <cell r="U168">
            <v>2599664.084198</v>
          </cell>
          <cell r="V168">
            <v>1.44256304514691</v>
          </cell>
          <cell r="W168">
            <v>-1855949.2237854</v>
          </cell>
        </row>
        <row r="169">
          <cell r="A169" t="str">
            <v>Total US - Sephora</v>
          </cell>
          <cell r="B169" t="str">
            <v>Total US - Specialty Stores</v>
          </cell>
          <cell r="C169">
            <v>121171760.292236</v>
          </cell>
          <cell r="D169">
            <v>2938468.18115234</v>
          </cell>
          <cell r="E169">
            <v>2.42504373466679</v>
          </cell>
          <cell r="F169">
            <v>118233292.111084</v>
          </cell>
          <cell r="G169">
            <v>97.5749562653332</v>
          </cell>
          <cell r="H169">
            <v>61518209.9918823</v>
          </cell>
          <cell r="I169" t="str">
            <v>Specialty Stores</v>
          </cell>
          <cell r="R169">
            <v>1017625.85098267</v>
          </cell>
          <cell r="S169">
            <v>136427.097991943</v>
          </cell>
          <cell r="T169">
            <v>0.0930048945631374</v>
          </cell>
          <cell r="U169">
            <v>881198.752990723</v>
          </cell>
          <cell r="V169">
            <v>-0.093004894563137</v>
          </cell>
          <cell r="W169">
            <v>-1855949.2237854</v>
          </cell>
        </row>
        <row r="170">
          <cell r="A170" t="str">
            <v>Total US - Staples</v>
          </cell>
          <cell r="B170" t="str">
            <v>Total US - Specialty Stores</v>
          </cell>
          <cell r="C170">
            <v>121171760.292236</v>
          </cell>
          <cell r="D170">
            <v>20363203.757019</v>
          </cell>
          <cell r="E170">
            <v>16.8052388674622</v>
          </cell>
          <cell r="F170">
            <v>100808556.535217</v>
          </cell>
          <cell r="G170">
            <v>83.1947611325378</v>
          </cell>
          <cell r="H170">
            <v>61518209.9918823</v>
          </cell>
          <cell r="I170" t="str">
            <v>Specialty Stores</v>
          </cell>
          <cell r="O170">
            <v>0.628421409952277</v>
          </cell>
          <cell r="P170">
            <v>2045582.03107409</v>
          </cell>
          <cell r="R170">
            <v>1017625.85098267</v>
          </cell>
          <cell r="S170">
            <v>-2238562.02145386</v>
          </cell>
          <cell r="T170">
            <v>-2.00540454782822</v>
          </cell>
          <cell r="U170">
            <v>3256187.87243652</v>
          </cell>
          <cell r="V170">
            <v>2.00540454782822</v>
          </cell>
          <cell r="W170">
            <v>-1855949.2237854</v>
          </cell>
          <cell r="AD170">
            <v>0.0129896912837438</v>
          </cell>
        </row>
        <row r="171">
          <cell r="A171" t="str">
            <v>Total US - Ulta Beauty</v>
          </cell>
          <cell r="B171" t="str">
            <v>Total US - Specialty Stores</v>
          </cell>
          <cell r="C171">
            <v>121171760.292236</v>
          </cell>
          <cell r="D171">
            <v>8126185.21234131</v>
          </cell>
          <cell r="E171">
            <v>6.70633585972751</v>
          </cell>
          <cell r="F171">
            <v>113045575.079895</v>
          </cell>
          <cell r="G171">
            <v>93.2936641402725</v>
          </cell>
          <cell r="H171">
            <v>61518209.9918823</v>
          </cell>
          <cell r="I171" t="str">
            <v>Specialty Stores</v>
          </cell>
          <cell r="R171">
            <v>1017625.85098267</v>
          </cell>
          <cell r="S171">
            <v>623814.320678711</v>
          </cell>
          <cell r="T171">
            <v>0.462380188496997</v>
          </cell>
          <cell r="U171">
            <v>393811.530303955</v>
          </cell>
          <cell r="V171">
            <v>-0.462380188497008</v>
          </cell>
          <cell r="W171">
            <v>-1855949.2237854</v>
          </cell>
        </row>
        <row r="172">
          <cell r="A172" t="str">
            <v>Total US - Toy</v>
          </cell>
          <cell r="B172" t="str">
            <v>Total US - Toy</v>
          </cell>
          <cell r="C172">
            <v>121171760.292236</v>
          </cell>
          <cell r="D172">
            <v>14911289.1411133</v>
          </cell>
          <cell r="E172">
            <v>12.3059111340389</v>
          </cell>
          <cell r="F172">
            <v>106260471.151123</v>
          </cell>
          <cell r="G172">
            <v>87.6940888659611</v>
          </cell>
          <cell r="H172">
            <v>61518209.9918823</v>
          </cell>
          <cell r="I172" t="str">
            <v>Toy</v>
          </cell>
          <cell r="O172">
            <v>1.22376844912269</v>
          </cell>
          <cell r="P172">
            <v>2694336.50560184</v>
          </cell>
          <cell r="R172">
            <v>1017625.85098267</v>
          </cell>
          <cell r="S172">
            <v>-2277153.65472412</v>
          </cell>
          <cell r="T172">
            <v>-1.99941666493186</v>
          </cell>
          <cell r="U172">
            <v>3294779.50570679</v>
          </cell>
          <cell r="V172">
            <v>1.99941666493186</v>
          </cell>
          <cell r="W172">
            <v>-1855949.2237854</v>
          </cell>
        </row>
        <row r="173">
          <cell r="A173" t="str">
            <v>Total US - Babies R US</v>
          </cell>
          <cell r="B173" t="str">
            <v>Total US - Toy</v>
          </cell>
          <cell r="C173">
            <v>121171760.292236</v>
          </cell>
          <cell r="D173">
            <v>3476085.02423096</v>
          </cell>
          <cell r="E173">
            <v>2.86872536624664</v>
          </cell>
          <cell r="F173">
            <v>117695675.268005</v>
          </cell>
          <cell r="G173">
            <v>97.1312746337534</v>
          </cell>
          <cell r="H173">
            <v>61518209.9918823</v>
          </cell>
          <cell r="I173" t="str">
            <v>Toy</v>
          </cell>
          <cell r="R173">
            <v>1017625.85098267</v>
          </cell>
          <cell r="S173">
            <v>-905346.019958496</v>
          </cell>
          <cell r="T173">
            <v>-0.777783398985774</v>
          </cell>
          <cell r="U173">
            <v>1922971.87094116</v>
          </cell>
          <cell r="V173">
            <v>0.777783398985775</v>
          </cell>
          <cell r="W173">
            <v>-1855949.2237854</v>
          </cell>
        </row>
        <row r="174">
          <cell r="A174" t="str">
            <v>Total US - Toys R Us</v>
          </cell>
          <cell r="B174" t="str">
            <v>Total US - Toy</v>
          </cell>
          <cell r="C174">
            <v>121171760.292236</v>
          </cell>
          <cell r="D174">
            <v>10953941.8511963</v>
          </cell>
          <cell r="E174">
            <v>9.04001214868719</v>
          </cell>
          <cell r="F174">
            <v>110217818.44104</v>
          </cell>
          <cell r="G174">
            <v>90.9599878513128</v>
          </cell>
          <cell r="H174">
            <v>61518209.9918823</v>
          </cell>
          <cell r="I174" t="str">
            <v>Toy</v>
          </cell>
          <cell r="R174">
            <v>1017625.85098267</v>
          </cell>
          <cell r="S174">
            <v>-1779531.29528809</v>
          </cell>
          <cell r="T174">
            <v>-1.55760332721646</v>
          </cell>
          <cell r="U174">
            <v>2797157.14627075</v>
          </cell>
          <cell r="V174">
            <v>1.55760332721646</v>
          </cell>
          <cell r="W174">
            <v>-1855949.2237854</v>
          </cell>
        </row>
        <row r="175">
          <cell r="A175" t="str">
            <v>Total US - Walmart Total</v>
          </cell>
          <cell r="B175" t="str">
            <v>Total US - Walmart Total</v>
          </cell>
          <cell r="C175">
            <v>121171760.292236</v>
          </cell>
          <cell r="D175">
            <v>100071163.895721</v>
          </cell>
          <cell r="E175">
            <v>82.5862095709219</v>
          </cell>
          <cell r="F175">
            <v>21100596.3965149</v>
          </cell>
          <cell r="G175">
            <v>17.4137904290781</v>
          </cell>
          <cell r="H175">
            <v>61518209.9918823</v>
          </cell>
          <cell r="I175" t="str">
            <v>Walmart Total</v>
          </cell>
          <cell r="J175">
            <v>57.1890528552124</v>
          </cell>
          <cell r="K175">
            <v>26336528.3640442</v>
          </cell>
          <cell r="L175">
            <v>120745820.055689</v>
          </cell>
          <cell r="M175">
            <v>425036078.986669</v>
          </cell>
          <cell r="N175">
            <v>120745820.055689</v>
          </cell>
          <cell r="O175">
            <v>54.6499843505786</v>
          </cell>
          <cell r="P175">
            <v>28720094.1393678</v>
          </cell>
          <cell r="R175">
            <v>1017625.85098267</v>
          </cell>
          <cell r="S175">
            <v>1310926.56665039</v>
          </cell>
          <cell r="T175">
            <v>0.391586981919474</v>
          </cell>
          <cell r="U175">
            <v>-293300.715667725</v>
          </cell>
          <cell r="V175">
            <v>-0.391586981919474</v>
          </cell>
          <cell r="W175">
            <v>-1855949.2237854</v>
          </cell>
          <cell r="Y175">
            <v>-1.43434146186957</v>
          </cell>
          <cell r="Z175">
            <v>114452.400512695</v>
          </cell>
          <cell r="AA175">
            <v>-5716814.53856897</v>
          </cell>
          <cell r="AB175">
            <v>7687823.66275263</v>
          </cell>
          <cell r="AC175">
            <v>-5716814.53856897</v>
          </cell>
          <cell r="AD175">
            <v>1.24734213518564</v>
          </cell>
        </row>
        <row r="176">
          <cell r="A176" t="str">
            <v>Total US - Walmart Division 1</v>
          </cell>
          <cell r="B176" t="str">
            <v>Total US - Walmart Total</v>
          </cell>
          <cell r="C176">
            <v>121171760.292236</v>
          </cell>
          <cell r="D176">
            <v>28425390.4638367</v>
          </cell>
          <cell r="E176">
            <v>23.4587583734706</v>
          </cell>
          <cell r="F176">
            <v>92746369.8283997</v>
          </cell>
          <cell r="G176">
            <v>76.5412416265294</v>
          </cell>
          <cell r="H176">
            <v>61518209.9918823</v>
          </cell>
          <cell r="I176" t="str">
            <v>Walmart Total</v>
          </cell>
          <cell r="J176">
            <v>92.4489011973394</v>
          </cell>
          <cell r="K176">
            <v>4645300.81811523</v>
          </cell>
          <cell r="L176">
            <v>19735113.3166199</v>
          </cell>
          <cell r="M176">
            <v>51416570.8754768</v>
          </cell>
          <cell r="N176">
            <v>19735113.3166199</v>
          </cell>
          <cell r="O176">
            <v>28.4267318606563</v>
          </cell>
          <cell r="P176">
            <v>5428611.82395771</v>
          </cell>
          <cell r="R176">
            <v>1017625.85098267</v>
          </cell>
          <cell r="S176">
            <v>-37260.3232421875</v>
          </cell>
          <cell r="T176">
            <v>-0.229690567081665</v>
          </cell>
          <cell r="U176">
            <v>1054886.17422485</v>
          </cell>
          <cell r="V176">
            <v>0.229690567081661</v>
          </cell>
          <cell r="W176">
            <v>-1855949.2237854</v>
          </cell>
          <cell r="Y176">
            <v>-0.256889134949489</v>
          </cell>
          <cell r="Z176">
            <v>22656.7697753906</v>
          </cell>
          <cell r="AA176">
            <v>-979161.015760422</v>
          </cell>
          <cell r="AB176">
            <v>8174340.80982876</v>
          </cell>
          <cell r="AC176">
            <v>-979161.015760422</v>
          </cell>
          <cell r="AD176">
            <v>0.950592701690329</v>
          </cell>
        </row>
        <row r="177">
          <cell r="A177" t="str">
            <v>Total US - Walmart Neighborhood Market</v>
          </cell>
          <cell r="B177" t="str">
            <v>Total US - Walmart Total</v>
          </cell>
          <cell r="C177">
            <v>121171760.292236</v>
          </cell>
          <cell r="D177">
            <v>13339301.6846008</v>
          </cell>
          <cell r="E177">
            <v>11.0085895033874</v>
          </cell>
          <cell r="F177">
            <v>107832458.607636</v>
          </cell>
          <cell r="G177">
            <v>88.9914104966126</v>
          </cell>
          <cell r="H177">
            <v>61518209.9918823</v>
          </cell>
          <cell r="I177" t="str">
            <v>Walmart Total</v>
          </cell>
          <cell r="J177">
            <v>96.7256429846532</v>
          </cell>
          <cell r="K177">
            <v>2014325.82458496</v>
          </cell>
          <cell r="L177">
            <v>6327212.34944916</v>
          </cell>
          <cell r="M177">
            <v>20337453.6973143</v>
          </cell>
          <cell r="N177">
            <v>6327212.34944916</v>
          </cell>
          <cell r="O177">
            <v>26.4857322675217</v>
          </cell>
          <cell r="P177">
            <v>2474619.57402083</v>
          </cell>
          <cell r="R177">
            <v>1017625.85098267</v>
          </cell>
          <cell r="S177">
            <v>2749527.63162231</v>
          </cell>
          <cell r="T177">
            <v>2.19509831373869</v>
          </cell>
          <cell r="U177">
            <v>-1731901.78063965</v>
          </cell>
          <cell r="V177">
            <v>-2.1950983137387</v>
          </cell>
          <cell r="W177">
            <v>-1855949.2237854</v>
          </cell>
          <cell r="Y177">
            <v>-0.866377816029853</v>
          </cell>
          <cell r="Z177">
            <v>488289.252929688</v>
          </cell>
          <cell r="AA177">
            <v>1098239.21279144</v>
          </cell>
          <cell r="AB177">
            <v>3905044.65318394</v>
          </cell>
          <cell r="AC177">
            <v>1098239.21279144</v>
          </cell>
          <cell r="AD177">
            <v>2.65716881178699</v>
          </cell>
        </row>
        <row r="178">
          <cell r="A178" t="str">
            <v>Total US - Walmart Supercenter</v>
          </cell>
          <cell r="B178" t="str">
            <v>Total US - Walmart Total</v>
          </cell>
          <cell r="C178">
            <v>121171760.292236</v>
          </cell>
          <cell r="D178">
            <v>88065615.8851013</v>
          </cell>
          <cell r="E178">
            <v>72.6783333614275</v>
          </cell>
          <cell r="F178">
            <v>33106144.407135</v>
          </cell>
          <cell r="G178">
            <v>27.3216666385725</v>
          </cell>
          <cell r="H178">
            <v>61518209.9918823</v>
          </cell>
          <cell r="I178" t="str">
            <v>Walmart Total</v>
          </cell>
          <cell r="J178">
            <v>63.9649708245446</v>
          </cell>
          <cell r="K178">
            <v>22168104.9187927</v>
          </cell>
          <cell r="L178">
            <v>94683494.4788456</v>
          </cell>
          <cell r="M178">
            <v>353282054.363447</v>
          </cell>
          <cell r="N178">
            <v>94683494.4788456</v>
          </cell>
          <cell r="O178">
            <v>53.5787138626071</v>
          </cell>
          <cell r="P178">
            <v>25190841.5506645</v>
          </cell>
          <cell r="R178">
            <v>1017625.85098267</v>
          </cell>
          <cell r="S178">
            <v>710625.85458374</v>
          </cell>
          <cell r="T178">
            <v>-0.024108744905206</v>
          </cell>
          <cell r="U178">
            <v>306999.996398926</v>
          </cell>
          <cell r="V178">
            <v>0.024108744905206</v>
          </cell>
          <cell r="W178">
            <v>-1855949.2237854</v>
          </cell>
          <cell r="Y178">
            <v>-0.841678583930843</v>
          </cell>
          <cell r="Z178">
            <v>-135385.118408203</v>
          </cell>
          <cell r="AA178">
            <v>-5835892.5997529</v>
          </cell>
          <cell r="AB178">
            <v>-4391561.89231443</v>
          </cell>
          <cell r="AC178">
            <v>-5835892.5997529</v>
          </cell>
          <cell r="AD178">
            <v>0.827684187069856</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comments" Target="../comments1.xml" /><Relationship Id="rId2" Type="http://schemas.openxmlformats.org/officeDocument/2006/relationships/vmlDrawing" Target="../drawings/vmlDrawing1.vml" /><Relationship Id="rId3" Type="http://schemas.openxmlformats.org/officeDocument/2006/relationships/printerSettings" Target="../printerSettings/printerSettings1.bin" /></Relationships>
</file>

<file path=xl/worksheets/_rels/sheet2.xml.rels><?xml version="1.0" encoding="utf-8" standalone="yes"?><Relationships xmlns="http://schemas.openxmlformats.org/package/2006/relationships"><Relationship Id="rId1" Type="http://schemas.openxmlformats.org/officeDocument/2006/relationships/comments" Target="../comments2.xml" /><Relationship Id="rId2" Type="http://schemas.openxmlformats.org/officeDocument/2006/relationships/vmlDrawing" Target="../drawings/vmlDrawing2.vml" /><Relationship Id="rId3"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EK688"/>
  <sheetViews>
    <sheetView showGridLines="0" tabSelected="1" zoomScale="85" zoomScaleNormal="85" workbookViewId="0" topLeftCell="A1"/>
  </sheetViews>
  <sheetFormatPr defaultColWidth="9.14285714285714" defaultRowHeight="14.25"/>
  <cols>
    <col min="1" max="1" width="2.42857142857143" style="19" customWidth="1"/>
    <col min="2" max="2" width="1" style="19" customWidth="1"/>
    <col min="3" max="3" width="1.57142857142857" style="19" customWidth="1"/>
    <col min="4" max="4" width="7.71428571428571" style="19" customWidth="1"/>
    <col min="5" max="5" width="2.28571428571429" style="19" customWidth="1"/>
    <col min="6" max="6" width="9.57142857142857" style="19" customWidth="1"/>
    <col min="7" max="7" width="0.857142857142857" style="19" customWidth="1"/>
    <col min="8" max="8" width="7.71428571428571" style="19" customWidth="1"/>
    <col min="9" max="9" width="2.28571428571429" style="19" customWidth="1"/>
    <col min="10" max="10" width="9.57142857142857" style="19" customWidth="1"/>
    <col min="11" max="11" width="0.857142857142857" style="19" customWidth="1"/>
    <col min="12" max="12" width="7.71428571428571" style="19" customWidth="1"/>
    <col min="13" max="13" width="2.28571428571429" style="19" customWidth="1"/>
    <col min="14" max="14" width="9.57142857142857" style="19" customWidth="1"/>
    <col min="15" max="15" width="0.857142857142857" style="19" customWidth="1"/>
    <col min="16" max="16" width="7.71428571428571" style="19" customWidth="1"/>
    <col min="17" max="17" width="2.28571428571429" style="19" customWidth="1"/>
    <col min="18" max="18" width="9.57142857142857" style="19" customWidth="1"/>
    <col min="19" max="19" width="0.857142857142857" style="19" customWidth="1"/>
    <col min="20" max="20" width="7.71428571428571" style="19" customWidth="1"/>
    <col min="21" max="21" width="2.28571428571429" style="19" customWidth="1"/>
    <col min="22" max="22" width="9.57142857142857" style="19" customWidth="1"/>
    <col min="23" max="23" width="0.857142857142857" style="19" customWidth="1"/>
    <col min="24" max="24" width="7.71428571428571" style="19" customWidth="1"/>
    <col min="25" max="25" width="2.28571428571429" style="19" customWidth="1"/>
    <col min="26" max="26" width="9.57142857142857" style="19" customWidth="1"/>
    <col min="27" max="27" width="0.857142857142857" style="19" customWidth="1"/>
    <col min="28" max="28" width="7.71428571428571" style="19" customWidth="1"/>
    <col min="29" max="29" width="2.28571428571429" style="19" customWidth="1"/>
    <col min="30" max="30" width="9.57142857142857" style="19" customWidth="1"/>
    <col min="31" max="31" width="0.857142857142857" style="19" customWidth="1"/>
    <col min="32" max="32" width="7.71428571428571" style="19" customWidth="1"/>
    <col min="33" max="33" width="2.28571428571429" style="19" customWidth="1"/>
    <col min="34" max="34" width="9.57142857142857" style="19" customWidth="1"/>
    <col min="35" max="35" width="1.71428571428571" style="19" customWidth="1"/>
    <col min="36" max="36" width="0.285714285714286" style="19" customWidth="1"/>
    <col min="37" max="37" width="2.71428571428571" style="19" customWidth="1"/>
    <col min="38" max="38" width="28.7142857142857" style="19" customWidth="1"/>
    <col min="39" max="77" width="9.14285714285714" style="19" customWidth="1"/>
    <col min="78" max="78" width="14.1428571428571" style="19" customWidth="1"/>
    <col min="79" max="79" width="14" style="19" customWidth="1"/>
    <col min="80" max="80" width="19" style="19" customWidth="1"/>
    <col min="81" max="81" width="14.8571428571429" style="19" customWidth="1"/>
    <col min="82" max="82" width="12.7142857142857" style="19" customWidth="1"/>
    <col min="83" max="83" width="18.7142857142857" style="19" customWidth="1"/>
    <col min="84" max="84" width="14.1428571428571" style="19" customWidth="1"/>
    <col min="85" max="85" width="18.7142857142857" style="19" customWidth="1"/>
    <col min="86" max="86" width="12.7142857142857" style="19" customWidth="1"/>
    <col min="87" max="87" width="18.7142857142857" style="19" customWidth="1"/>
    <col min="88" max="88" width="12.7142857142857" style="19" customWidth="1"/>
    <col min="89" max="89" width="18.7142857142857" style="19" customWidth="1"/>
    <col min="90" max="90" width="20.2857142857143" style="19" customWidth="1"/>
    <col min="91" max="91" width="16.2857142857143" style="19" customWidth="1"/>
    <col min="92" max="92" width="14.1428571428571" style="19" customWidth="1"/>
    <col min="93" max="93" width="21.1428571428571" style="19" customWidth="1"/>
    <col min="94" max="94" width="14.1428571428571" style="19" customWidth="1"/>
    <col min="95" max="95" width="21.1428571428571" style="19" customWidth="1"/>
    <col min="96" max="96" width="12.7142857142857" style="19" customWidth="1"/>
    <col min="97" max="97" width="21.1428571428571" style="19" customWidth="1"/>
    <col min="98" max="98" width="17.4285714285714" style="19" customWidth="1"/>
    <col min="99" max="99" width="21.1428571428571" style="19" customWidth="1"/>
    <col min="100" max="100" width="23.7142857142857" style="19" customWidth="1"/>
    <col min="101" max="101" width="17.2857142857143" style="19" customWidth="1"/>
    <col min="102" max="102" width="52.2857142857143" style="19" customWidth="1"/>
    <col min="103" max="103" width="29.8571428571429" style="19" customWidth="1"/>
    <col min="104" max="104" width="13.5714285714286" style="19" customWidth="1"/>
    <col min="105" max="105" width="18.1428571428571" style="19" customWidth="1"/>
    <col min="106" max="106" width="16.2857142857143" style="19" customWidth="1"/>
    <col min="107" max="107" width="16.8571428571429" style="19" customWidth="1"/>
    <col min="108" max="108" width="19.1428571428571" style="19" customWidth="1"/>
    <col min="109" max="109" width="38.2857142857143" style="19" customWidth="1"/>
    <col min="110" max="110" width="28.8571428571429" style="19" customWidth="1"/>
    <col min="111" max="111" width="31.4285714285714" style="19" customWidth="1"/>
    <col min="112" max="112" width="28.5714285714286" style="19" customWidth="1"/>
    <col min="113" max="113" width="37.1428571428571" style="19" customWidth="1"/>
    <col min="114" max="114" width="39.1428571428571" style="19" customWidth="1"/>
    <col min="115" max="115" width="43.4285714285714" style="19" customWidth="1"/>
    <col min="116" max="116" width="45.4285714285714" style="19" customWidth="1"/>
    <col min="117" max="117" width="48" style="19" customWidth="1"/>
    <col min="118" max="118" width="29.8571428571429" style="19" customWidth="1"/>
    <col min="119" max="119" width="13.5714285714286" style="19" customWidth="1"/>
    <col min="120" max="120" width="18.1428571428571" style="19" customWidth="1"/>
    <col min="121" max="121" width="16.2857142857143" style="19" customWidth="1"/>
    <col min="122" max="122" width="16.8571428571429" style="19" customWidth="1"/>
    <col min="123" max="123" width="19.1428571428571" style="19" customWidth="1"/>
    <col min="124" max="124" width="38.2857142857143" style="19" customWidth="1"/>
    <col min="125" max="125" width="28.8571428571429" style="19" customWidth="1"/>
    <col min="126" max="126" width="31.4285714285714" style="19" customWidth="1"/>
    <col min="127" max="127" width="28.5714285714286" style="19" customWidth="1"/>
    <col min="128" max="128" width="37.1428571428571" style="19" customWidth="1"/>
    <col min="129" max="129" width="39.1428571428571" style="19" customWidth="1"/>
    <col min="130" max="130" width="43.4285714285714" style="19" customWidth="1"/>
    <col min="131" max="131" width="45.4285714285714" style="19" customWidth="1"/>
    <col min="132" max="132" width="48" style="19" customWidth="1"/>
    <col min="133" max="133" width="39.1428571428571" style="19" customWidth="1"/>
    <col min="134" max="134" width="43.4285714285714" style="19" customWidth="1"/>
    <col min="135" max="135" width="39.1428571428571" style="19" customWidth="1"/>
    <col min="136" max="136" width="43.4285714285714" style="19" customWidth="1"/>
    <col min="137" max="138" width="12.8571428571429" style="19" customWidth="1"/>
    <col min="139" max="139" width="39.1428571428571" style="19" customWidth="1"/>
    <col min="140" max="140" width="32.5714285714286" style="19" customWidth="1"/>
    <col min="141" max="141" width="13.7142857142857" style="19" customWidth="1"/>
    <col min="142" max="16384" width="9.14285714285714" style="19" customWidth="1"/>
  </cols>
  <sheetData>
    <row r="1" spans="1:138" ht="18" customHeight="1">
      <c r="A1" s="1"/>
      <c s="1"/>
      <c s="1" t="s">
        <v>0</v>
      </c>
      <c s="1"/>
      <c s="1"/>
      <c s="1"/>
      <c s="1"/>
      <c s="1"/>
      <c s="1"/>
      <c s="1"/>
      <c s="1"/>
      <c s="1"/>
      <c s="1"/>
      <c r="T1" s="173"/>
      <c s="174"/>
      <c s="174"/>
      <c s="174"/>
      <c s="174"/>
      <c s="175"/>
      <c s="15" t="s">
        <v>53</v>
      </c>
      <c s="179" t="s">
        <v>25</v>
      </c>
      <c s="180"/>
      <c s="180"/>
      <c s="180"/>
      <c s="180"/>
      <c s="180"/>
      <c s="180"/>
      <c s="180"/>
      <c s="180"/>
      <c s="181"/>
      <c r="AL1" s="15" t="s">
        <v>409</v>
      </c>
      <c r="CA1" s="20" t="s">
        <v>39</v>
      </c>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2" spans="1:138" ht="18" customHeight="1">
      <c r="A2" s="1"/>
      <c s="1"/>
      <c s="1"/>
      <c s="1"/>
      <c s="1"/>
      <c s="1"/>
      <c s="1"/>
      <c s="1"/>
      <c s="1"/>
      <c s="1"/>
      <c s="1"/>
      <c s="1"/>
      <c s="1"/>
      <c r="T2" s="176" t="s">
        <v>27</v>
      </c>
      <c s="177"/>
      <c s="177"/>
      <c s="177"/>
      <c s="177"/>
      <c s="178"/>
      <c s="15" t="s">
        <v>53</v>
      </c>
      <c s="179" t="s">
        <v>28</v>
      </c>
      <c s="180"/>
      <c s="180"/>
      <c s="180"/>
      <c s="180"/>
      <c s="180"/>
      <c s="180"/>
      <c s="180"/>
      <c s="180"/>
      <c s="181"/>
      <c r="AL2" s="116" t="s">
        <v>410</v>
      </c>
      <c r="CA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3" spans="1:138" ht="18">
      <c r="A3" s="1"/>
      <c s="82" t="s">
        <v>391</v>
      </c>
      <c s="82"/>
      <c s="1"/>
      <c s="1"/>
      <c s="1"/>
      <c s="1"/>
      <c s="1"/>
      <c s="1"/>
      <c s="1"/>
      <c s="1"/>
      <c s="1"/>
      <c s="1"/>
      <c s="1"/>
      <c s="1"/>
      <c r="T3" s="188" t="s">
        <v>26</v>
      </c>
      <c s="189"/>
      <c s="189"/>
      <c s="189"/>
      <c s="189"/>
      <c s="190"/>
      <c s="15" t="s">
        <v>53</v>
      </c>
      <c s="179" t="s">
        <v>390</v>
      </c>
      <c s="180"/>
      <c s="180"/>
      <c s="180"/>
      <c s="180"/>
      <c s="180"/>
      <c s="180"/>
      <c s="180"/>
      <c s="180"/>
      <c s="181"/>
      <c r="AL3" s="117"/>
      <c r="CA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row>
    <row r="4" spans="1:138" ht="15">
      <c r="A4" s="21"/>
      <c s="21"/>
      <c s="21"/>
      <c s="21"/>
      <c s="21"/>
      <c s="21"/>
      <c s="21"/>
      <c s="21"/>
      <c s="21"/>
      <c s="21"/>
      <c s="21"/>
      <c s="21"/>
      <c s="21"/>
      <c s="21"/>
      <c s="21"/>
      <c s="21"/>
      <c s="21"/>
      <c s="21"/>
      <c s="21"/>
      <c s="194"/>
      <c s="195"/>
      <c s="195"/>
      <c s="195"/>
      <c s="195"/>
      <c s="196"/>
      <c s="15" t="s">
        <v>53</v>
      </c>
      <c s="179" t="s">
        <v>412</v>
      </c>
      <c s="180"/>
      <c s="180"/>
      <c s="180"/>
      <c s="180"/>
      <c s="180"/>
      <c s="180"/>
      <c s="180"/>
      <c s="180"/>
      <c s="181"/>
      <c r="AL4" s="118"/>
      <c r="CA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5" spans="1:138" s="43" customFormat="1" ht="1.5" customHeight="1">
      <c r="A5" s="40"/>
      <c s="40"/>
      <c s="40"/>
      <c s="40"/>
      <c s="40"/>
      <c s="40"/>
      <c s="40"/>
      <c s="40"/>
      <c s="40"/>
      <c s="40"/>
      <c s="40"/>
      <c s="40"/>
      <c s="40"/>
      <c s="40"/>
      <c s="40"/>
      <c s="40"/>
      <c s="40"/>
      <c s="40"/>
      <c s="40"/>
      <c s="94"/>
      <c s="94"/>
      <c s="94"/>
      <c s="94"/>
      <c s="94"/>
      <c s="94"/>
      <c s="95"/>
      <c s="96"/>
      <c s="96"/>
      <c s="96"/>
      <c s="96"/>
      <c s="96"/>
      <c s="96"/>
      <c s="96"/>
      <c s="96"/>
      <c s="96"/>
      <c s="96"/>
      <c r="AL5" s="97"/>
      <c r="CA5"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row>
    <row r="6" spans="1:138" ht="1.5" customHeight="1">
      <c r="A6" s="21"/>
      <c s="22"/>
      <c s="23"/>
      <c s="23"/>
      <c s="23"/>
      <c s="23"/>
      <c s="23"/>
      <c s="23"/>
      <c s="23"/>
      <c s="23"/>
      <c s="23"/>
      <c s="23"/>
      <c s="23"/>
      <c s="23"/>
      <c s="23"/>
      <c s="23"/>
      <c s="23"/>
      <c s="23"/>
      <c s="23"/>
      <c s="23"/>
      <c s="23"/>
      <c s="23"/>
      <c s="23"/>
      <c s="23"/>
      <c s="23"/>
      <c s="23"/>
      <c s="23"/>
      <c s="23"/>
      <c s="23"/>
      <c s="23"/>
      <c s="23"/>
      <c s="23"/>
      <c s="23"/>
      <c s="23"/>
      <c s="23"/>
      <c s="24"/>
      <c r="CA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7" spans="1:138" ht="1.5" customHeight="1">
      <c r="A7" s="21"/>
      <c s="25"/>
      <c s="21"/>
      <c s="21"/>
      <c s="21"/>
      <c s="21"/>
      <c s="21"/>
      <c s="21"/>
      <c s="21"/>
      <c s="21"/>
      <c s="21"/>
      <c s="21"/>
      <c s="21"/>
      <c s="21"/>
      <c s="21"/>
      <c s="21"/>
      <c s="21"/>
      <c s="21"/>
      <c s="21"/>
      <c s="21"/>
      <c s="21"/>
      <c s="21"/>
      <c s="21"/>
      <c s="21"/>
      <c s="21"/>
      <c s="21"/>
      <c s="21"/>
      <c s="21"/>
      <c s="21"/>
      <c s="21"/>
      <c s="21"/>
      <c s="21"/>
      <c s="21"/>
      <c s="21"/>
      <c s="21"/>
      <c s="26"/>
      <c r="CA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8" spans="1:138" ht="12" customHeight="1">
      <c r="A8" s="21"/>
      <c s="25"/>
      <c s="21"/>
      <c s="83" t="str">
        <f>"Geography : "&amp;RIGHT(CX102,LEN(CX102)-14)</f>
        <v>Geography : Total US - Target Corporate</v>
      </c>
      <c r="F8" s="21"/>
      <c s="21"/>
      <c s="21"/>
      <c s="21"/>
      <c s="21"/>
      <c s="21"/>
      <c s="21"/>
      <c s="21"/>
      <c s="21"/>
      <c s="21"/>
      <c s="21"/>
      <c s="21"/>
      <c s="21"/>
      <c s="27"/>
      <c s="27"/>
      <c s="28"/>
      <c s="185" t="str">
        <f>TEXT(CZ111/1000000,"#,##0.0")&amp;"MM HHs"</f>
        <v>121.2MM HHs</v>
      </c>
      <c s="186"/>
      <c s="186"/>
      <c s="186"/>
      <c s="186"/>
      <c s="187"/>
      <c s="27"/>
      <c s="27"/>
      <c s="27"/>
      <c s="21"/>
      <c s="21"/>
      <c s="21"/>
      <c s="21"/>
      <c s="21"/>
      <c s="26"/>
      <c r="AL8" s="91" t="s">
        <v>4</v>
      </c>
      <c r="CA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9" spans="1:138" ht="12" customHeight="1">
      <c r="A9" s="21"/>
      <c s="25"/>
      <c s="21"/>
      <c s="83" t="str">
        <f>CX103</f>
        <v>Time : Latest 52 Weeks Ending Jan-24-2016</v>
      </c>
      <c r="F9" s="21"/>
      <c s="21"/>
      <c s="21"/>
      <c s="21"/>
      <c s="21"/>
      <c s="21"/>
      <c s="21"/>
      <c s="21"/>
      <c s="21"/>
      <c s="21"/>
      <c s="21"/>
      <c s="21"/>
      <c s="29"/>
      <c s="21"/>
      <c s="21"/>
      <c s="21"/>
      <c s="191" t="str">
        <f>"in "&amp;IF(ISERROR(LEFT(CX112,FIND(" - ",CX112)))=TRUE,CX112,LEFT(CX112,FIND(" - ",CX112)))</f>
        <v>in Total US </v>
      </c>
      <c s="192"/>
      <c s="192"/>
      <c s="192"/>
      <c s="192"/>
      <c s="193"/>
      <c s="21"/>
      <c s="21"/>
      <c s="21"/>
      <c s="30"/>
      <c s="21"/>
      <c s="21"/>
      <c r="AI9" s="21"/>
      <c s="26"/>
      <c r="AL9" s="91" t="s">
        <v>4</v>
      </c>
      <c r="CA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10" spans="1:138" ht="12" customHeight="1">
      <c r="A10" s="21"/>
      <c s="25"/>
      <c s="21"/>
      <c s="83" t="str">
        <f>CX104</f>
        <v>Product : AISLE-LAUNDRY</v>
      </c>
      <c r="F10" s="21"/>
      <c s="21"/>
      <c s="21"/>
      <c s="21"/>
      <c s="21"/>
      <c s="21"/>
      <c s="21"/>
      <c s="21"/>
      <c s="21"/>
      <c s="21"/>
      <c s="21"/>
      <c s="21"/>
      <c s="29"/>
      <c s="21"/>
      <c s="10"/>
      <c s="21"/>
      <c r="Y10" s="21"/>
      <c r="AB10" s="21"/>
      <c s="21"/>
      <c s="21"/>
      <c s="11"/>
      <c s="10"/>
      <c s="21"/>
      <c r="AI10" s="21"/>
      <c s="26"/>
      <c r="AL10" s="91" t="s">
        <v>4</v>
      </c>
      <c r="CA1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11" spans="1:138" ht="12" customHeight="1">
      <c r="A11" s="21"/>
      <c s="25"/>
      <c s="21"/>
      <c s="83" t="str">
        <f>IF(CX106&lt;&gt;"",CX106,"")</f>
        <v>HH Demo Summary : All HH Income Per Capita</v>
      </c>
      <c r="F11" s="21"/>
      <c s="21"/>
      <c s="21"/>
      <c s="21"/>
      <c s="21"/>
      <c s="21"/>
      <c s="21"/>
      <c s="21"/>
      <c s="27"/>
      <c s="33"/>
      <c s="182" t="str">
        <f>TEXT(DB111/100,"0.0%")&amp;IF(AND(Z2&lt;&gt;"",DQ111&lt;&gt;"")," ("&amp;IF((DQ111/100)&gt;0,"+","")&amp;TEXT(DQ111,"0.0")&amp;"pts)","")&amp;IF(Z1&lt;&gt;""," ("&amp;TEXT(DA111/1000000,"#,##0.0")&amp;"MM HHs)","")</f>
        <v>55.4% (-1.5pts) (67.1MM HHs)</v>
      </c>
      <c s="183"/>
      <c s="183"/>
      <c s="183"/>
      <c s="183"/>
      <c s="184"/>
      <c s="33"/>
      <c s="27"/>
      <c r="Y11" s="21"/>
      <c r="AB11" s="150" t="str">
        <f>TEXT(DD111/100,"0.0%")&amp;IF(AND(Z2&lt;&gt;"",DS111&lt;&gt;"")," ("&amp;IF((DS111/100)&gt;0,"+","")&amp;TEXT(DS111,"0.0")&amp;"pts)","")&amp;IF(Z1&lt;&gt;""," ("&amp;TEXT(DC111/1000000,"#,##0.0")&amp;"MM HHs)","")</f>
        <v>44.6% (+1.5pts) (54.0MM HHs)</v>
      </c>
      <c s="151"/>
      <c s="151"/>
      <c s="151"/>
      <c s="151"/>
      <c s="152"/>
      <c r="AI11" s="21"/>
      <c s="26"/>
      <c r="AL11" s="91" t="s">
        <v>4</v>
      </c>
      <c r="CA1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12" spans="1:138" ht="12" customHeight="1">
      <c r="A12" s="21"/>
      <c s="25"/>
      <c s="21"/>
      <c s="83" t="str">
        <f>IF(CX107&lt;&gt;"",CX107,"")</f>
        <v>Trip Mission : All Trip Missions</v>
      </c>
      <c s="21"/>
      <c s="21"/>
      <c s="21"/>
      <c s="21"/>
      <c s="21"/>
      <c s="21"/>
      <c s="21"/>
      <c s="21"/>
      <c s="32"/>
      <c s="80"/>
      <c s="21"/>
      <c s="125" t="str">
        <f>"Shop in "&amp;CV111</f>
        <v>Shop in Target Corporate</v>
      </c>
      <c s="126"/>
      <c s="126"/>
      <c s="126"/>
      <c s="126"/>
      <c s="127"/>
      <c s="21"/>
      <c s="21"/>
      <c s="30"/>
      <c s="21"/>
      <c s="21"/>
      <c r="AB12" s="131" t="str">
        <f>"Do Not Shop in "&amp;CV111</f>
        <v>Do Not Shop in Target Corporate</v>
      </c>
      <c s="132"/>
      <c s="132"/>
      <c s="132"/>
      <c s="132"/>
      <c s="133"/>
      <c r="AI12" s="21"/>
      <c s="26"/>
      <c r="AL12" s="91" t="s">
        <v>4</v>
      </c>
      <c r="CA1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13" spans="1:138" s="37" customFormat="1" ht="12" customHeight="1">
      <c r="A13" s="21"/>
      <c s="25"/>
      <c s="21"/>
      <c s="83" t="str">
        <f>IF(CX108&lt;&gt;"",CX108,"")</f>
        <v>Parent Company : Total (Unfiltered)</v>
      </c>
      <c s="21"/>
      <c s="21"/>
      <c s="21"/>
      <c s="21"/>
      <c s="21"/>
      <c s="21"/>
      <c s="21"/>
      <c s="21"/>
      <c s="59"/>
      <c s="21"/>
      <c s="21"/>
      <c s="128"/>
      <c s="129"/>
      <c s="129"/>
      <c s="129"/>
      <c s="129"/>
      <c s="130"/>
      <c s="21"/>
      <c s="21"/>
      <c s="59"/>
      <c s="21"/>
      <c s="21"/>
      <c r="AB13" s="134"/>
      <c s="135"/>
      <c s="135"/>
      <c s="135"/>
      <c s="135"/>
      <c s="136"/>
      <c r="AI13" s="21"/>
      <c s="26"/>
      <c r="AL13" s="91" t="s">
        <v>4</v>
      </c>
      <c r="CA1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row>
    <row r="14" spans="1:138" ht="12" customHeight="1">
      <c r="A14" s="21"/>
      <c s="25"/>
      <c s="21"/>
      <c s="21"/>
      <c s="21"/>
      <c s="21"/>
      <c s="21"/>
      <c s="21"/>
      <c s="21"/>
      <c s="21"/>
      <c s="21"/>
      <c s="21"/>
      <c s="11"/>
      <c s="81"/>
      <c s="21"/>
      <c s="2"/>
      <c s="21"/>
      <c s="21"/>
      <c r="U14" s="21"/>
      <c s="21"/>
      <c s="21"/>
      <c s="11"/>
      <c s="21"/>
      <c r="AB14" s="21"/>
      <c r="AI14" s="21"/>
      <c s="26"/>
      <c r="AL14" s="91" t="s">
        <v>4</v>
      </c>
      <c r="CA1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15" spans="1:138" ht="12" customHeight="1">
      <c r="A15" s="21"/>
      <c s="25"/>
      <c s="21"/>
      <c r="J15" s="147" t="str">
        <f>TEXT(DE111/DA111,"0.0%")&amp;IF(AND(Z2&lt;&gt;"",DA111&lt;&gt;"",DE111&lt;&gt;"",DP111&lt;&gt;"",DT111&lt;&gt;"")," ("&amp;IF((DE111/DA111-(DE111-DT111)/(DA111-DP111))&gt;0,"+","")&amp;TEXT((DE111/DA111-(DE111-DT111)/(DA111-DP111))*100,"0.0")&amp;"pts)","")&amp;IF(Z1&lt;&gt;""," ("&amp;TEXT(DE111/1000000,"#,##0.0")&amp;"MM HHs)","")</f>
        <v>91.6% (-1.0pts) (61.5MM HHs)</v>
      </c>
      <c s="148"/>
      <c s="148"/>
      <c s="148"/>
      <c s="148"/>
      <c s="149"/>
      <c s="31"/>
      <c s="27"/>
      <c s="27"/>
      <c s="27"/>
      <c s="21"/>
      <c s="21"/>
      <c s="150" t="str">
        <f>TEXT(1-DE111/DA111,"0.0%")&amp;IF(AND(Z2&lt;&gt;"",DA111&lt;&gt;"",DE111&lt;&gt;"",DP111&lt;&gt;"",DT111&lt;&gt;"")," ("&amp;IF(((DA111-DE111)/DA111-((DA111-DE111)-(DP111-DT111))/(DA111-DP111))&gt;0,"+","")&amp;TEXT(((DA111-DE111)/DA111-((DA111-DE111)-(DP111-DT111))/(DA111-DP111))*100,"0.0")&amp;"pts)","")&amp;IF(Z1&lt;&gt;""," ("&amp;TEXT((DA111-DE111)/1000000,"#,##0.0")&amp;"MM HHs)","")</f>
        <v>8.4% (+1.0pts) (5.6MM HHs)</v>
      </c>
      <c s="151"/>
      <c s="151"/>
      <c s="151"/>
      <c s="151"/>
      <c s="152"/>
      <c r="AJ15" s="26"/>
      <c r="AL15" s="91" t="s">
        <v>4</v>
      </c>
      <c r="CA1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16" spans="1:138" ht="24.75" customHeight="1">
      <c r="A16" s="21"/>
      <c s="25"/>
      <c s="21"/>
      <c r="J16" s="201" t="str">
        <f>"Buy "&amp;MID($D$10,11,LEN($D$10)-10)&amp;" Somewhere"</f>
        <v>Buy AISLE-LAUNDRY Somewhere</v>
      </c>
      <c s="202"/>
      <c s="202"/>
      <c s="202"/>
      <c s="202"/>
      <c s="203"/>
      <c r="R16" s="80"/>
      <c s="21"/>
      <c s="30"/>
      <c s="21"/>
      <c s="134" t="str">
        <f>"Do Not Buy "&amp;MID($D$10,11,LEN($D$10)-10)&amp;" Anywhere"</f>
        <v>Do Not Buy AISLE-LAUNDRY Anywhere</v>
      </c>
      <c s="135"/>
      <c s="135"/>
      <c s="135"/>
      <c s="135"/>
      <c s="136"/>
      <c r="AJ16" s="26"/>
      <c r="AL16" s="99"/>
      <c r="CA1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17" spans="1:138" ht="6" customHeight="1">
      <c r="A17" s="21"/>
      <c s="25"/>
      <c s="21"/>
      <c s="21"/>
      <c s="21"/>
      <c s="21"/>
      <c s="21"/>
      <c s="21"/>
      <c s="21"/>
      <c s="21"/>
      <c s="21"/>
      <c s="21"/>
      <c s="32"/>
      <c s="21"/>
      <c s="21"/>
      <c s="21"/>
      <c s="21"/>
      <c s="10"/>
      <c s="21"/>
      <c s="30"/>
      <c s="21"/>
      <c s="21"/>
      <c s="21"/>
      <c s="21"/>
      <c s="21"/>
      <c s="21"/>
      <c s="21"/>
      <c s="21"/>
      <c r="AI17" s="21"/>
      <c s="26"/>
      <c r="AL17" s="99"/>
      <c r="CA1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18" spans="1:138" ht="3.75" customHeight="1">
      <c r="A18" s="21"/>
      <c s="25"/>
      <c s="21"/>
      <c s="34"/>
      <c s="34"/>
      <c s="34"/>
      <c s="34"/>
      <c s="34"/>
      <c s="34"/>
      <c s="34"/>
      <c s="34"/>
      <c s="34"/>
      <c s="35"/>
      <c s="34"/>
      <c s="34"/>
      <c s="34"/>
      <c s="34"/>
      <c s="34"/>
      <c s="34"/>
      <c s="35"/>
      <c s="34"/>
      <c s="34"/>
      <c s="34"/>
      <c s="34"/>
      <c s="34"/>
      <c s="34"/>
      <c s="34"/>
      <c s="34"/>
      <c s="34"/>
      <c s="34"/>
      <c s="34"/>
      <c s="34"/>
      <c s="34"/>
      <c s="34"/>
      <c s="21"/>
      <c s="26"/>
      <c r="AL18" s="90"/>
      <c r="CA1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19" spans="1:138" ht="12.75" customHeight="1">
      <c r="A19" s="21"/>
      <c s="25"/>
      <c s="21"/>
      <c s="156" t="str">
        <f>IF(Z3&lt;&gt;"","$ Opportunity from 1 Additional Point of Buyer Conversion:","")</f>
        <v>$ Opportunity from 1 Additional Point of Buyer Conversion:</v>
      </c>
      <c s="156"/>
      <c s="156"/>
      <c s="156"/>
      <c s="156"/>
      <c s="157"/>
      <c s="147" t="str">
        <f>TEXT(DL111/100,"0.0%")&amp;IF(AND(Z2&lt;&gt;"",EA111&lt;&gt;"")," ("&amp;IF((EA111/100)&gt;0,"+","")&amp;TEXT(EA111,"0.0")&amp;"pts)","")&amp;IF(Z1&lt;&gt;""," ("&amp;TEXT(DH111/1000000,"#,##0.0")&amp;"MM HHs)","")</f>
        <v>26.8% (-2.1pts) (16.5MM HHs)</v>
      </c>
      <c s="148"/>
      <c s="148"/>
      <c s="148"/>
      <c s="148"/>
      <c s="149"/>
      <c s="34"/>
      <c s="34"/>
      <c s="150" t="str">
        <f>TEXT((100-DL111)/100,"0.0%")&amp;IF(AND(Z2&lt;&gt;"",EA111&lt;&gt;"")," ("&amp;IF(((EA111*(-1))/100)&gt;0,"+","")&amp;TEXT(EA111*(-1),"0.0")&amp;"pts)","")&amp;IF(Z1&lt;&gt;""," ("&amp;TEXT((DE111-DH111)/1000000,"#,##0.0")&amp;"MM HHs)","")</f>
        <v>73.2% (+2.1pts) (45.0MM HHs)</v>
      </c>
      <c s="151"/>
      <c s="151"/>
      <c s="151"/>
      <c s="151"/>
      <c s="152"/>
      <c s="34"/>
      <c s="34"/>
      <c s="204" t="s">
        <v>46</v>
      </c>
      <c s="154"/>
      <c s="154"/>
      <c s="154"/>
      <c s="154"/>
      <c s="154"/>
      <c s="154"/>
      <c s="154"/>
      <c s="3"/>
      <c s="4"/>
      <c s="26"/>
      <c r="AL19" s="90"/>
      <c r="CA1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20" spans="1:138" s="37" customFormat="1" ht="12.75" customHeight="1">
      <c r="A20" s="21"/>
      <c s="25"/>
      <c s="21"/>
      <c s="156"/>
      <c s="156"/>
      <c s="156"/>
      <c s="156"/>
      <c s="156"/>
      <c s="157"/>
      <c s="164" t="str">
        <f>"Buy "&amp;MID($D$10,11,LEN($D$10)-10)&amp;" in "&amp;CV111</f>
        <v>Buy AISLE-LAUNDRY in Target Corporate</v>
      </c>
      <c s="165"/>
      <c s="165"/>
      <c s="165"/>
      <c s="165"/>
      <c s="166"/>
      <c s="34"/>
      <c s="34"/>
      <c s="119" t="str">
        <f>"Do Not Buy "&amp;MID($D$10,11,LEN($D$10)-10)&amp;" in "&amp;CV111</f>
        <v>Do Not Buy AISLE-LAUNDRY in Target Corporate</v>
      </c>
      <c s="120"/>
      <c s="120"/>
      <c s="120"/>
      <c s="120"/>
      <c s="121"/>
      <c s="34"/>
      <c s="34"/>
      <c s="204"/>
      <c s="154"/>
      <c s="154"/>
      <c s="154"/>
      <c s="154"/>
      <c s="154"/>
      <c s="154"/>
      <c s="154"/>
      <c s="3"/>
      <c s="4"/>
      <c s="26"/>
      <c r="AL20" s="90"/>
      <c r="CA2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row>
    <row r="21" spans="1:138" ht="12.75" customHeight="1">
      <c r="A21" s="21"/>
      <c s="25"/>
      <c s="21"/>
      <c s="158">
        <f>IF(Z3&lt;&gt;"",DM111,"")</f>
        <v>16876764.4116231</v>
      </c>
      <c s="159"/>
      <c s="159"/>
      <c s="159"/>
      <c s="159"/>
      <c s="160"/>
      <c s="167"/>
      <c s="168"/>
      <c s="168"/>
      <c s="168"/>
      <c s="168"/>
      <c s="169"/>
      <c s="34"/>
      <c s="34"/>
      <c s="122"/>
      <c s="123"/>
      <c s="123"/>
      <c s="123"/>
      <c s="123"/>
      <c s="124"/>
      <c s="34"/>
      <c s="34"/>
      <c s="154"/>
      <c s="154"/>
      <c s="154"/>
      <c s="154"/>
      <c s="154"/>
      <c s="154"/>
      <c s="154"/>
      <c s="154"/>
      <c s="38"/>
      <c s="39"/>
      <c s="26"/>
      <c r="AL21" s="90"/>
      <c r="CA2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22" spans="1:138" s="43" customFormat="1" ht="3.75" customHeight="1">
      <c r="A22" s="40"/>
      <c s="41"/>
      <c s="40"/>
      <c s="34"/>
      <c s="34"/>
      <c s="36"/>
      <c s="36"/>
      <c s="36"/>
      <c s="5"/>
      <c s="5"/>
      <c s="8"/>
      <c s="5"/>
      <c s="34"/>
      <c s="34"/>
      <c s="34"/>
      <c s="34"/>
      <c s="34"/>
      <c s="5"/>
      <c s="5"/>
      <c s="8"/>
      <c s="5"/>
      <c s="34"/>
      <c s="38"/>
      <c s="34"/>
      <c s="34"/>
      <c s="34"/>
      <c s="34"/>
      <c s="38"/>
      <c s="38"/>
      <c s="38"/>
      <c s="38"/>
      <c s="38"/>
      <c s="38"/>
      <c s="38"/>
      <c s="39"/>
      <c s="42"/>
      <c r="AL22" s="90"/>
      <c r="CA2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23" spans="1:138" s="43" customFormat="1" ht="6" customHeight="1">
      <c r="A23" s="40"/>
      <c s="41"/>
      <c s="40"/>
      <c s="40"/>
      <c s="40"/>
      <c s="39"/>
      <c s="44"/>
      <c s="45"/>
      <c s="45"/>
      <c s="45"/>
      <c s="46"/>
      <c s="44"/>
      <c s="44"/>
      <c s="40"/>
      <c s="40"/>
      <c s="39"/>
      <c s="39"/>
      <c s="40"/>
      <c s="39"/>
      <c s="46"/>
      <c s="45"/>
      <c s="45"/>
      <c s="39"/>
      <c s="40"/>
      <c s="40"/>
      <c s="40"/>
      <c s="40"/>
      <c s="39"/>
      <c s="39"/>
      <c s="39"/>
      <c s="39"/>
      <c s="39"/>
      <c s="39"/>
      <c s="39"/>
      <c s="39"/>
      <c s="42"/>
      <c r="AL23" s="90"/>
      <c r="CA2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24" spans="1:138" s="43" customFormat="1" ht="6" customHeight="1">
      <c r="A24" s="40"/>
      <c s="41"/>
      <c s="40"/>
      <c s="40"/>
      <c s="40"/>
      <c s="39"/>
      <c s="47"/>
      <c s="39"/>
      <c s="39"/>
      <c s="39"/>
      <c s="39"/>
      <c s="40"/>
      <c s="40"/>
      <c s="48"/>
      <c s="40"/>
      <c s="39"/>
      <c s="39"/>
      <c s="40"/>
      <c s="39"/>
      <c s="39"/>
      <c s="39"/>
      <c s="39"/>
      <c s="46"/>
      <c s="40"/>
      <c s="40"/>
      <c s="40"/>
      <c s="40"/>
      <c s="39"/>
      <c s="39"/>
      <c s="39"/>
      <c s="39"/>
      <c s="39"/>
      <c s="39"/>
      <c s="39"/>
      <c s="39"/>
      <c s="42"/>
      <c r="AL24" s="90"/>
      <c r="CA2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25" spans="1:138" s="43" customFormat="1" ht="12" customHeight="1">
      <c r="A25" s="40"/>
      <c s="41"/>
      <c s="40"/>
      <c s="141" t="s">
        <v>1</v>
      </c>
      <c s="142"/>
      <c s="142"/>
      <c s="142"/>
      <c s="142"/>
      <c s="142"/>
      <c s="142"/>
      <c s="142"/>
      <c s="142"/>
      <c s="142"/>
      <c s="142"/>
      <c s="142"/>
      <c s="142"/>
      <c s="142"/>
      <c s="143"/>
      <c s="39"/>
      <c s="144" t="s">
        <v>2</v>
      </c>
      <c s="145"/>
      <c s="145"/>
      <c s="145"/>
      <c s="145"/>
      <c s="145"/>
      <c s="145"/>
      <c s="145"/>
      <c s="145"/>
      <c s="145"/>
      <c s="145"/>
      <c s="145"/>
      <c s="145"/>
      <c s="145"/>
      <c s="146"/>
      <c s="39"/>
      <c s="42"/>
      <c r="AL25" s="90"/>
      <c r="CA2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26" spans="1:138" s="43" customFormat="1" ht="6" customHeight="1">
      <c r="A26" s="40"/>
      <c s="41"/>
      <c s="40"/>
      <c s="40"/>
      <c s="40"/>
      <c s="39"/>
      <c s="49"/>
      <c s="10"/>
      <c s="39"/>
      <c s="39"/>
      <c s="39"/>
      <c s="40"/>
      <c s="40"/>
      <c s="12"/>
      <c s="40"/>
      <c s="39"/>
      <c s="39"/>
      <c s="40"/>
      <c s="50"/>
      <c s="50"/>
      <c s="50"/>
      <c s="50"/>
      <c s="51"/>
      <c s="10"/>
      <c s="50"/>
      <c r="AC26" s="50"/>
      <c s="50"/>
      <c s="50"/>
      <c s="50"/>
      <c s="50"/>
      <c s="50"/>
      <c s="50"/>
      <c s="42"/>
      <c r="AL26" s="90"/>
      <c r="CA2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27" spans="1:138" s="43" customFormat="1" ht="3.75" customHeight="1">
      <c r="A27" s="40"/>
      <c s="41"/>
      <c s="40"/>
      <c s="52"/>
      <c s="52"/>
      <c s="53"/>
      <c s="54"/>
      <c s="53"/>
      <c s="53"/>
      <c s="53"/>
      <c s="53"/>
      <c s="52"/>
      <c s="52"/>
      <c s="55"/>
      <c s="52"/>
      <c s="53"/>
      <c s="53"/>
      <c s="52"/>
      <c s="56"/>
      <c s="56"/>
      <c s="56"/>
      <c s="56"/>
      <c s="57"/>
      <c s="56"/>
      <c s="56"/>
      <c s="58"/>
      <c s="58"/>
      <c s="58"/>
      <c s="56"/>
      <c s="56"/>
      <c s="56"/>
      <c s="56"/>
      <c s="56"/>
      <c s="56"/>
      <c s="50"/>
      <c s="42"/>
      <c r="CA2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28" spans="1:138" s="43" customFormat="1" ht="12" customHeight="1">
      <c r="A28" s="40"/>
      <c s="41"/>
      <c s="40"/>
      <c s="52"/>
      <c s="147" t="str">
        <f>TEXT(DI111/DI112,"0.0%")&amp;IF(AND(Z2&lt;&gt;"",DI111&lt;&gt;"",DI112&lt;&gt;"",DX111&lt;&gt;"",DX112&lt;&gt;"")," ("&amp;IF((DI111/DI112-(DI111-DX111)/(DI112-DX112))&gt;0,"+","")&amp;TEXT((DI111/DI112-(DI111-DX111)/(DI112-DX112))*100,"0.0")&amp;"pts)","")&amp;IF(Z1&lt;&gt;""," ("&amp;TEXT(DI111/1000000,"$#,##0.0")&amp;"MM)","")</f>
        <v>31.3% (+0.4pts) ($244.7MM)</v>
      </c>
      <c s="148"/>
      <c s="148"/>
      <c s="148"/>
      <c s="148"/>
      <c s="149"/>
      <c s="6"/>
      <c s="150" t="str">
        <f>TEXT(DK112/DI112,"0.0%")&amp;IF(AND(Z2&lt;&gt;"",DK112&lt;&gt;"",DI112&lt;&gt;"",DZ112&lt;&gt;"",DX112&lt;&gt;"")," ("&amp;IF((DK112/DI112-(DK112-DZ112)/(DI112-DX112))&gt;0,"+","")&amp;TEXT((DK112/DI112-(DK112-DZ112)/(DI112-DX112))*100,"0.0")&amp;"pts)","")&amp;IF(Z1&lt;&gt;""," ("&amp;TEXT(DK112/1000000,"$#,##0.0")&amp;"MM)","")</f>
        <v>68.7% (-0.4pts) ($536.2MM)</v>
      </c>
      <c s="151"/>
      <c s="151"/>
      <c s="151"/>
      <c s="151"/>
      <c s="152"/>
      <c s="105"/>
      <c s="100"/>
      <c s="102"/>
      <c s="100"/>
      <c s="150" t="str">
        <f>"100.0%"&amp;IF(Z2&lt;&gt;""," (0.0pts)","")&amp;IF(Z1&lt;&gt;""," ("&amp;TEXT(DJ112/1000000,"$#,##0.0")&amp;"MM)","")</f>
        <v>100.0% (0.0pts) ($1,805.5MM)</v>
      </c>
      <c s="151"/>
      <c s="151"/>
      <c s="151"/>
      <c s="151"/>
      <c s="152"/>
      <c s="153" t="s">
        <v>47</v>
      </c>
      <c s="154"/>
      <c s="154"/>
      <c s="154"/>
      <c s="154"/>
      <c s="154"/>
      <c s="56"/>
      <c s="50"/>
      <c s="42"/>
      <c r="CA2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29" spans="1:138" s="43" customFormat="1" ht="24" customHeight="1">
      <c r="A29" s="40"/>
      <c s="41"/>
      <c s="40"/>
      <c s="52"/>
      <c s="128" t="str">
        <f>MID($D$10,11,LEN($D$10)-10)&amp;" $ Spent in "&amp;CV111</f>
        <v>AISLE-LAUNDRY $ Spent in Target Corporate</v>
      </c>
      <c s="129"/>
      <c s="129"/>
      <c s="129"/>
      <c s="129"/>
      <c s="130"/>
      <c s="53"/>
      <c s="134" t="str">
        <f>MID($D$10,11,LEN($D$10)-10)&amp;" $ Leaked Elsewhere"</f>
        <v>AISLE-LAUNDRY $ Leaked Elsewhere</v>
      </c>
      <c s="135"/>
      <c s="135"/>
      <c s="135"/>
      <c s="135"/>
      <c s="136"/>
      <c s="106"/>
      <c s="100"/>
      <c s="101"/>
      <c s="100"/>
      <c s="134" t="str">
        <f>MID($D$10,11,LEN($D$10)-10)&amp;" $ Leaked Elsewhere"</f>
        <v>AISLE-LAUNDRY $ Leaked Elsewhere</v>
      </c>
      <c s="135"/>
      <c s="135"/>
      <c s="135"/>
      <c s="135"/>
      <c s="136"/>
      <c s="155"/>
      <c s="154"/>
      <c s="154"/>
      <c s="154"/>
      <c s="154"/>
      <c s="154"/>
      <c s="56"/>
      <c s="50"/>
      <c s="42"/>
      <c r="CA2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30" spans="1:138" s="43" customFormat="1" ht="3.75" customHeight="1">
      <c r="A30" s="40"/>
      <c s="41"/>
      <c s="40"/>
      <c s="52"/>
      <c s="52"/>
      <c s="7"/>
      <c s="7"/>
      <c s="7"/>
      <c s="7"/>
      <c s="53"/>
      <c s="53"/>
      <c s="7"/>
      <c s="7"/>
      <c s="9"/>
      <c s="52"/>
      <c s="53"/>
      <c s="53"/>
      <c s="52"/>
      <c s="56"/>
      <c s="56"/>
      <c s="56"/>
      <c s="7"/>
      <c s="9"/>
      <c s="7"/>
      <c s="56"/>
      <c s="58"/>
      <c s="58"/>
      <c s="58"/>
      <c s="56"/>
      <c s="56"/>
      <c s="56"/>
      <c s="56"/>
      <c s="56"/>
      <c s="56"/>
      <c s="50"/>
      <c s="42"/>
      <c r="CA3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31" spans="1:138" s="43" customFormat="1" ht="6" customHeight="1">
      <c r="A31" s="40"/>
      <c s="41"/>
      <c s="40"/>
      <c s="40"/>
      <c s="40"/>
      <c s="39"/>
      <c s="45"/>
      <c s="45"/>
      <c s="45"/>
      <c s="39"/>
      <c s="45"/>
      <c s="44"/>
      <c s="44"/>
      <c s="60"/>
      <c s="44"/>
      <c s="45"/>
      <c s="45"/>
      <c s="40"/>
      <c s="19"/>
      <c s="39"/>
      <c s="39"/>
      <c s="39"/>
      <c s="46"/>
      <c s="45"/>
      <c s="44"/>
      <c s="40"/>
      <c s="44"/>
      <c s="44"/>
      <c s="45"/>
      <c s="39"/>
      <c s="45"/>
      <c s="45"/>
      <c s="45"/>
      <c s="39"/>
      <c s="50"/>
      <c s="42"/>
      <c r="CA3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32" spans="1:138" s="43" customFormat="1" ht="6" customHeight="1">
      <c r="A32" s="40"/>
      <c s="41"/>
      <c s="40"/>
      <c s="40"/>
      <c s="40"/>
      <c s="13"/>
      <c s="39"/>
      <c s="39"/>
      <c s="39"/>
      <c s="13"/>
      <c s="39"/>
      <c s="40"/>
      <c s="40"/>
      <c s="13"/>
      <c s="40"/>
      <c s="39"/>
      <c s="39"/>
      <c s="14"/>
      <c s="19"/>
      <c s="40"/>
      <c s="40"/>
      <c s="13"/>
      <c s="39"/>
      <c s="39"/>
      <c s="39"/>
      <c s="13"/>
      <c s="39"/>
      <c s="40"/>
      <c s="40"/>
      <c s="13"/>
      <c s="40"/>
      <c s="39"/>
      <c s="39"/>
      <c s="14"/>
      <c s="50"/>
      <c s="42"/>
      <c r="CA3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33" spans="1:138" s="43" customFormat="1" ht="12" customHeight="1">
      <c r="A33" s="40"/>
      <c s="41"/>
      <c s="40"/>
      <c s="161" t="str">
        <f>IF(ISERROR(VLOOKUP(1,$CC$110:$EH$300,54,FALSE))=FALSE,TEXT(VLOOKUP(1,$CC$110:$EH$300,54,FALSE)/$DI$112,"0.0%")&amp;IF(AND($Z2&lt;&gt;"",VLOOKUP(1,$CC$110:$EH$300,58,FALSE)&lt;&gt;"")," ("&amp;IF(VLOOKUP(1,$CC$110:$EH$300,58,FALSE)&gt;0,"+","")&amp;TEXT(VLOOKUP(1,$CC$110:$EH$300,58,FALSE)*100,"0.0")&amp;"pts)",""),"")</f>
        <v>23.2% (-2.1pts)</v>
      </c>
      <c s="162"/>
      <c s="163"/>
      <c s="39"/>
      <c s="161" t="str">
        <f>IF(ISERROR(VLOOKUP(2,$CC$110:$EH$300,54,FALSE))=FALSE,TEXT(VLOOKUP(2,$CC$110:$EH$300,54,FALSE)/$DI$112,"0.0%")&amp;IF(AND($Z2&lt;&gt;"",VLOOKUP(2,$CC$110:$EH$300,58,FALSE)&lt;&gt;"")," ("&amp;IF(VLOOKUP(2,$CC$110:$EH$300,58,FALSE)&gt;0,"+","")&amp;TEXT(VLOOKUP(2,$CC$110:$EH$300,58,FALSE)*100,"0.0")&amp;"pts)",""),"")</f>
        <v>16.1% (+0.4pts)</v>
      </c>
      <c s="162"/>
      <c s="163"/>
      <c s="4"/>
      <c s="161" t="str">
        <f>IF(ISERROR(VLOOKUP(3,$CC$110:$EH$300,54,FALSE))=FALSE,TEXT(VLOOKUP(3,$CC$110:$EH$300,54,FALSE)/$DI$112,"0.0%")&amp;IF(AND($Z2&lt;&gt;"",VLOOKUP(3,$CC$110:$EH$300,58,FALSE)&lt;&gt;"")," ("&amp;IF(VLOOKUP(3,$CC$110:$EH$300,58,FALSE)&gt;0,"+","")&amp;TEXT(VLOOKUP(3,$CC$110:$EH$300,58,FALSE)*100,"0.0")&amp;"pts)",""),"")</f>
        <v>15.5% (+2.0pts)</v>
      </c>
      <c s="162"/>
      <c s="163"/>
      <c r="P33" s="161" t="str">
        <f>IF(Z4&lt;&gt;"",IF(DK112&lt;&gt;"",TEXT((DK112-IF(ISERROR(VLOOKUP(1,$CC$110:$EH$300,54,FALSE))=FALSE,VLOOKUP(1,$CC$110:$EH$300,54,FALSE))-IF(ISERROR(VLOOKUP(2,$CC$110:$EH$300,54,FALSE))=FALSE,VLOOKUP(2,$CC$110:$EH$300,54,FALSE))-IF(ISERROR(VLOOKUP(3,$CC$110:$EH$300,54,FALSE))=FALSE,VLOOKUP(3,$CC$110:$EH$300,54,FALSE)))/DI112,"0.0%")&amp;IF(AND(Z2&lt;&gt;"",DK112&lt;&gt;"",DI112&lt;&gt;"",DZ112&lt;&gt;"",DX112&lt;&gt;"")," ("&amp;IF((DK112/DI112-(DK112-DZ112)/(DI112-DX112))*100-IF(AND($Z2&lt;&gt;"",ISERROR(VLOOKUP(1,$CC$110:$EH$300,58,FALSE))=FALSE),VLOOKUP(1,$CC$110:$EH$300,58,FALSE)*100,0)-IF(AND($Z2&lt;&gt;"",ISERROR(VLOOKUP(2,$CC$110:$EH$300,58,FALSE))=FALSE),VLOOKUP(2,$CC$110:$EH$300,58,FALSE)*100,0)-IF(AND($Z2&lt;&gt;"",ISERROR(VLOOKUP(3,$CC$110:$EH$300,58,FALSE))=FALSE),VLOOKUP(3,$CC$110:$EH$300,58,FALSE)*100,0)&gt;0,"+","")&amp;TEXT((DK112/DI112-(DK112-DZ112)/(DI112-DX112))*100-IF(AND($Z2&lt;&gt;"",ISERROR(VLOOKUP(1,$CC$110:$EH$300,58,FALSE))=FALSE),VLOOKUP(1,$CC$110:$EH$300,58,FALSE)*100,0)-IF(AND($Z2&lt;&gt;"",ISERROR(VLOOKUP(2,$CC$110:$EH$300,58,FALSE))=FALSE),VLOOKUP(2,$CC$110:$EH$300,58,FALSE)*100,0)-IF(AND($Z2&lt;&gt;"",ISERROR(VLOOKUP(3,$CC$110:$EH$300,58,FALSE))=FALSE),VLOOKUP(3,$CC$110:$EH$300,58,FALSE)*100,0),"0.0")&amp;"pts)",""),""),IF(ISERROR(VLOOKUP(4,$CC$110:$EH$300,54,FALSE))=FALSE,TEXT(VLOOKUP(4,$CC$110:$EH$300,54,FALSE)/$DI$112,"0.0%")&amp;IF(AND($Z2&lt;&gt;"",VLOOKUP(4,$CC$110:$EH$300,58,FALSE)&lt;&gt;"")," ("&amp;IF(VLOOKUP(4,$CC$110:$EH$300,58,FALSE)&gt;0,"+","")&amp;TEXT(VLOOKUP(4,$CC$110:$EH$300,58,FALSE)*100,"0.0")&amp;"pts)",""),""))</f>
        <v>13.9% (-0.7pts)</v>
      </c>
      <c s="162"/>
      <c s="163"/>
      <c s="19"/>
      <c s="137" t="str">
        <f>IF(ISERROR(VLOOKUP(1,$CM$110:$EH$300,47,FALSE))=FALSE,TEXT(VLOOKUP(1,$CM$110:$DJ$300,24,FALSE)/$DJ$112,"0.0%")&amp;IF(AND($Z2&lt;&gt;"",VLOOKUP(1,$CM$110:$EH$300,47,FALSE)&lt;&gt;"")," ("&amp;IF(VLOOKUP(1,$CM$110:$EH$300,47,FALSE)&gt;0,"+","")&amp;TEXT(VLOOKUP(1,$CM$110:$EH$300,47,FALSE)*100,"0.0")&amp;"pts)",""),"")</f>
        <v>33.8% (-1.8pts)</v>
      </c>
      <c s="138"/>
      <c s="139"/>
      <c s="39"/>
      <c s="137" t="str">
        <f>IF(ISERROR(VLOOKUP(2,$CM$110:$EH$300,47,FALSE))=FALSE,TEXT(VLOOKUP(2,$CM$110:$DJ$300,24,FALSE)/$DJ$112,"0.0%")&amp;IF(AND($Z2&lt;&gt;"",VLOOKUP(2,$CM$110:$EH$300,47,FALSE)&lt;&gt;"")," ("&amp;IF(VLOOKUP(2,$CM$110:$EH$300,47,FALSE)&gt;0,"+","")&amp;TEXT(VLOOKUP(2,$CM$110:$EH$300,47,FALSE)*100,"0.0")&amp;"pts)",""),"")</f>
        <v>23.6% (+0.4pts)</v>
      </c>
      <c s="138"/>
      <c s="139"/>
      <c s="4"/>
      <c s="137" t="str">
        <f>IF(ISERROR(VLOOKUP(3,$CM$110:$EH$300,47,FALSE))=FALSE,TEXT(VLOOKUP(3,$CM$110:$DJ$300,24,FALSE)/$DJ$112,"0.0%")&amp;IF(AND($Z2&lt;&gt;"",VLOOKUP(3,$CM$110:$EH$300,47,FALSE)&lt;&gt;"")," ("&amp;IF(VLOOKUP(3,$CM$110:$EH$300,47,FALSE)&gt;0,"+","")&amp;TEXT(VLOOKUP(3,$CM$110:$EH$300,47,FALSE)*100,"0.0")&amp;"pts)",""),"")</f>
        <v>23.5% (+1.5pts)</v>
      </c>
      <c s="138"/>
      <c s="139"/>
      <c r="AF33" s="137" t="str">
        <f>IF(Z4&lt;&gt;"",IF(DK112&lt;&gt;"",IF(DJ112&lt;&gt;"",TEXT((DJ112-IF(ISERROR(VLOOKUP(1,$CM$110:$DJ$300,24,FALSE))=FALSE,VLOOKUP(1,$CM$110:$DJ$300,24,FALSE))-IF(ISERROR(VLOOKUP(2,$CM$110:$DJ$300,24,FALSE))=FALSE,VLOOKUP(2,$CM$110:$DJ$300,24,FALSE))-IF(ISERROR(VLOOKUP(3,$CM$110:$DJ$300,24,FALSE))=FALSE,VLOOKUP(3,$CM$110:$DJ$300,24,FALSE)))/DJ112,"0.0%"),"")&amp;IF(AND(Z2&lt;&gt;"",DJ112&lt;&gt;"",DY112&lt;&gt;"")," ("&amp;IF(0-IF(AND($Z2&lt;&gt;"",ISERROR(VLOOKUP(1,$CM$110:$EH$300,47,FALSE))=FALSE),VLOOKUP(1,$CM$110:$EH$300,47,FALSE)*100,0)-IF(AND($Z2&lt;&gt;"",ISERROR(VLOOKUP(2,$CM$110:$EH$300,47,FALSE))=FALSE),VLOOKUP(2,$CM$110:$EH$300,47,FALSE)*100,0)-IF(AND($Z2&lt;&gt;"",ISERROR(VLOOKUP(3,$CM$110:$EH$300,47,FALSE))=FALSE),VLOOKUP(3,$CM$110:$EH$300,47,FALSE)*100,0)&gt;0,"+","")&amp;TEXT(0-IF(AND($Z2&lt;&gt;"",ISERROR(VLOOKUP(1,$CM$110:$EH$300,47,FALSE))=FALSE),VLOOKUP(1,$CM$110:$EH$300,47,FALSE)*100,0)-IF(AND($Z2&lt;&gt;"",ISERROR(VLOOKUP(2,$CM$110:$EH$300,47,FALSE))=FALSE),VLOOKUP(2,$CM$110:$EH$300,47,FALSE)*100,0)-IF(AND($Z2&lt;&gt;"",ISERROR(VLOOKUP(3,$CM$110:$EH$300,47,FALSE))=FALSE),VLOOKUP(3,$CM$110:$EH$300,47,FALSE)*100,0),"0.0")&amp;"pts)",""),""),IF(ISERROR(VLOOKUP(4,$CM$110:$DJ$300,24,FALSE))=FALSE,TEXT(VLOOKUP(4,$CM$110:$DJ$300,24,FALSE)/$DJ$112,"0.0%")&amp;IF(AND($Z2&lt;&gt;"",VLOOKUP(4,$CM$110:$EH$300,47,FALSE)&lt;&gt;"")," ("&amp;IF(VLOOKUP(4,$CM$110:$EH$300,47,FALSE)&gt;0,"+","")&amp;TEXT(VLOOKUP(4,$CM$110:$EH$300,47,FALSE)*100,"0.0")&amp;"pts)",""),""))</f>
        <v>19.1% (-0.1pts)</v>
      </c>
      <c s="138"/>
      <c s="139"/>
      <c s="50"/>
      <c s="42"/>
      <c r="CA3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34" spans="1:138" s="43" customFormat="1" ht="47.25" customHeight="1">
      <c r="A34" s="40"/>
      <c s="41"/>
      <c s="40"/>
      <c s="197" t="str">
        <f>IF(ISERROR(VLOOKUP(1,$CC$110:$EH$300,54,FALSE))=FALSE,MID($D$10,11,LEN($D$10)-10)&amp;" $ Leaked to "&amp;VLOOKUP(1,$CC$110:$CV$300,20,FALSE)&amp;IF($Z1&lt;&gt;""," ("&amp;TEXT(VLOOKUP(1,$CC$110:$EH$300,54,FALSE)/1000000,"$#,##0.0")&amp;"MM)",""),"")</f>
        <v>AISLE-LAUNDRY $ Leaked to GroceryX ($181.2MM)</v>
      </c>
      <c s="198"/>
      <c s="199"/>
      <c s="39"/>
      <c s="197" t="str">
        <f>IF(ISERROR(VLOOKUP(2,$CC$110:$EH$300,54,FALSE))=FALSE,MID($D$10,11,LEN($D$10)-10)&amp;" $ Leaked to "&amp;VLOOKUP(2,$CC$110:$CV$300,20,FALSE)&amp;IF($Z1&lt;&gt;""," ("&amp;TEXT(VLOOKUP(2,$CC$110:$EH$300,54,FALSE)/1000000,"$#,##0.0")&amp;"MM)",""),"")</f>
        <v>AISLE-LAUNDRY $ Leaked to Club ($125.4MM)</v>
      </c>
      <c s="198"/>
      <c s="199"/>
      <c s="39"/>
      <c s="197" t="str">
        <f>IF(ISERROR(VLOOKUP(3,$CC$110:$EH$300,54,FALSE))=FALSE,MID($D$10,11,LEN($D$10)-10)&amp;" $ Leaked to "&amp;VLOOKUP(3,$CC$110:$CV$300,20,FALSE)&amp;IF($Z1&lt;&gt;""," ("&amp;TEXT(VLOOKUP(3,$CC$110:$EH$300,54,FALSE)/1000000,"$#,##0.0")&amp;"MM)",""),"")</f>
        <v>AISLE-LAUNDRY $ Leaked to Walmart Total ($120.7MM)</v>
      </c>
      <c s="198"/>
      <c s="199"/>
      <c r="P34" s="197" t="str">
        <f>IF(Z4&lt;&gt;"",MID($D$10,11,LEN($D$10)-10)&amp;" $ Leaked to Other Channels"&amp;IF(Z1&lt;&gt;""," ("&amp;TEXT((DK112-IFERROR(VLOOKUP(1,$CC$110:$EH$300,54,FALSE),0)-IFERROR(VLOOKUP(2,$CC$110:$EH$300,54,FALSE),0)-IFERROR(VLOOKUP(3,$CC$110:$EH$300,54,FALSE),0))/1000000,"$#,##0.0")&amp;"MM)",""),IF(ISERROR(VLOOKUP(4,$CC$110:$EH$300,54,FALSE))=FALSE,MID($D$10,11,LEN($D$10)-10)&amp;" $ Leaked to "&amp;VLOOKUP(4,$CC$110:$CV$300,20,FALSE)&amp;IF($Z1&lt;&gt;""," ("&amp;TEXT(VLOOKUP(4,$CC$110:$EH$300,54,FALSE)/1000000,"$#,##0.0")&amp;"MM)",""),""))</f>
        <v>AISLE-LAUNDRY $ Leaked to Other Channels ($108.8MM)</v>
      </c>
      <c s="198"/>
      <c s="199"/>
      <c s="19"/>
      <c s="170" t="str">
        <f>IF(ISERROR(VLOOKUP(1,$CM$110:$CV$300,10,FALSE))=FALSE,MID($D$10,11,LEN($D$10)-10)&amp;" $ Leaked to "&amp;VLOOKUP(1,$CM$110:$CV$300,10,FALSE)&amp;IF($Z1&lt;&gt;""," ("&amp;TEXT(VLOOKUP(1,$CM$110:$DJ$300,24,FALSE)/1000000,"$#,##0.0")&amp;"MM)",""),"")</f>
        <v>AISLE-LAUNDRY $ Leaked to GroceryX ($610.4MM)</v>
      </c>
      <c s="171"/>
      <c s="172"/>
      <c s="39"/>
      <c s="170" t="str">
        <f>IF(ISERROR(VLOOKUP(2,$CM$110:$CV$300,10,FALSE))=FALSE,MID($D$10,11,LEN($D$10)-10)&amp;" $ Leaked to "&amp;VLOOKUP(2,$CM$110:$CV$300,10,FALSE)&amp;IF($Z1&lt;&gt;""," ("&amp;TEXT(VLOOKUP(2,$CM$110:$DJ$300,24,FALSE)/1000000,"$#,##0.0")&amp;"MM)",""),"")</f>
        <v>AISLE-LAUNDRY $ Leaked to Club ($425.4MM)</v>
      </c>
      <c s="171"/>
      <c s="172"/>
      <c s="39"/>
      <c s="170" t="str">
        <f>IF(ISERROR(VLOOKUP(3,$CM$110:$CV$300,10,FALSE))=FALSE,MID($D$10,11,LEN($D$10)-10)&amp;" $ Leaked to "&amp;VLOOKUP(3,$CM$110:$CV$300,10,FALSE)&amp;IF($Z1&lt;&gt;""," ("&amp;TEXT(VLOOKUP(3,$CM$110:$DJ$300,24,FALSE)/1000000,"$#,##0.0")&amp;"MM)",""),"")</f>
        <v>AISLE-LAUNDRY $ Leaked to Walmart Total ($425.0MM)</v>
      </c>
      <c s="171"/>
      <c s="172"/>
      <c r="AF34" s="170" t="str">
        <f>IF(Z4&lt;&gt;"",MID($D$10,11,LEN($D$10)-10)&amp;" $ Leaked to Other Channels"&amp;IF(Z1&lt;&gt;""," ("&amp;TEXT((DJ112-IFERROR(VLOOKUP(1,$CM$110:$DJ$300,24,FALSE),0)-IFERROR(VLOOKUP(2,$CM$110:$DJ$300,24,FALSE),0)-IFERROR(VLOOKUP(3,$CM$110:$DJ$300,24,FALSE),0))/1000000,"$#,##0.0")&amp;"MM)",""),IF(ISERROR(VLOOKUP(4,$CM$110:$DJ$300,24,FALSE))=FALSE,MID($D$10,11,LEN($D$10)-10)&amp;" $ Leaked to "&amp;VLOOKUP(4,$CM$110:$CV$300,10,FALSE)&amp;IF($Z1&lt;&gt;""," ("&amp;TEXT(VLOOKUP(4,$CM$110:$DJ$300,24,FALSE)/1000000,"$#,##0.0")&amp;"MM)",""),""))</f>
        <v>AISLE-LAUNDRY $ Leaked to Other Channels ($344.6MM)</v>
      </c>
      <c s="171"/>
      <c s="172"/>
      <c s="50"/>
      <c s="42"/>
      <c r="AL34" s="111"/>
      <c r="CA3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35" spans="1:138" s="43" customFormat="1" ht="7.5" customHeight="1">
      <c r="A35" s="40"/>
      <c s="41"/>
      <c s="40"/>
      <c s="40"/>
      <c s="40"/>
      <c s="39"/>
      <c s="39"/>
      <c s="39"/>
      <c s="39"/>
      <c s="39"/>
      <c s="39"/>
      <c s="40"/>
      <c s="40"/>
      <c s="40"/>
      <c s="40"/>
      <c s="39"/>
      <c s="39"/>
      <c s="40"/>
      <c s="19"/>
      <c s="40"/>
      <c s="40"/>
      <c s="39"/>
      <c s="39"/>
      <c s="39"/>
      <c s="39"/>
      <c s="39"/>
      <c s="39"/>
      <c s="40"/>
      <c s="40"/>
      <c s="40"/>
      <c s="40"/>
      <c s="39"/>
      <c s="39"/>
      <c s="40"/>
      <c s="50"/>
      <c s="42"/>
      <c r="AL35" s="103"/>
      <c r="CA3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36" spans="1:138" s="43" customFormat="1" ht="11.25" customHeight="1">
      <c r="A36" s="40"/>
      <c s="41"/>
      <c s="40"/>
      <c s="88" t="str">
        <f>IF(ISERROR(VLOOKUP(1,$CE$113:$DM$300,33,FALSE))=FALSE,TEXT(VLOOKUP(1,$CE$113:$DM$300,33,FALSE)/$DI$112,"0.0%"),"")</f>
        <v>2.9%</v>
      </c>
      <c s="140" t="str">
        <f>IF(ISERROR(VLOOKUP(1,$CE$113:$CV$300,18,FALSE))=FALSE,VLOOKUP(1,$CE$113:$CV$300,18,FALSE),"")</f>
        <v>Kroger</v>
      </c>
      <c s="140"/>
      <c s="16"/>
      <c s="88" t="str">
        <f>IF(ISERROR(VLOOKUP(1,$CG$113:$DM$300,31,FALSE))=FALSE,TEXT(VLOOKUP(1,$CG$113:$DM$300,31,FALSE)/$DI$112,"0.0%"),"")</f>
        <v>8.1%</v>
      </c>
      <c s="140" t="str">
        <f>IF(ISERROR(VLOOKUP(1,$CG$113:$CV$300,16,FALSE))=FALSE,VLOOKUP(1,$CG$113:$CV$300,16,FALSE),"")</f>
        <v>Costco</v>
      </c>
      <c s="140"/>
      <c s="17"/>
      <c s="88" t="str">
        <f>IF(ISERROR(VLOOKUP(1,$CI$113:$DM$300,29,FALSE))=FALSE,TEXT(VLOOKUP(1,$CI$113:$DM$300,29,FALSE)/$DI$112,"0.0%"),"")</f>
        <v>12.1%</v>
      </c>
      <c s="140" t="str">
        <f>IF(ISERROR(VLOOKUP(1,$CI$113:$CV$300,14,FALSE))=FALSE,VLOOKUP(1,$CI$113:$CV$300,14,FALSE),"")</f>
        <v>Walmart Supercenter</v>
      </c>
      <c s="140"/>
      <c s="17"/>
      <c s="88" t="str">
        <f>IF(ISERROR(VLOOKUP(1,$CK$113:$DM$300,27,FALSE))=FALSE,TEXT(VLOOKUP(1,$CK$113:$DM$300,27,FALSE)/$DI$112,"0.0%"),"")</f>
        <v>3.3%</v>
      </c>
      <c s="140" t="str">
        <f>IF(ISERROR(VLOOKUP(1,$CK$113:$CV$300,12,FALSE))=FALSE,VLOOKUP(1,$CK$113:$CV$300,12,FALSE),"")</f>
        <v>CVS</v>
      </c>
      <c s="140"/>
      <c s="61"/>
      <c s="88" t="str">
        <f>IF(ISERROR(VLOOKUP(1,$CO$113:$DJ$300,22,FALSE))=FALSE,TEXT(VLOOKUP(1,$CO$113:$DJ$300,22,FALSE)/$DJ$112,"0.0%"),"")</f>
        <v>4.6%</v>
      </c>
      <c s="140" t="str">
        <f>IF(ISERROR(VLOOKUP(1,$CO$113:$CV$300,8,FALSE))=FALSE,VLOOKUP(1,$CO$113:$CV$300,8,FALSE),"")</f>
        <v>Kroger</v>
      </c>
      <c s="140"/>
      <c s="16"/>
      <c s="88" t="str">
        <f>IF(ISERROR(VLOOKUP(1,$CQ$113:$DJ$300,20,FALSE))=FALSE,TEXT(VLOOKUP(1,$CQ$113:$DJ$300,20,FALSE)/$DJ$112,"0.0%"),"")</f>
        <v>10.8%</v>
      </c>
      <c s="140" t="str">
        <f>IF(ISERROR(VLOOKUP(1,$CQ$113:$CV$300,6,FALSE))=FALSE,VLOOKUP(1,$CQ$113:$CV$300,6,FALSE),"")</f>
        <v>Costco</v>
      </c>
      <c s="140"/>
      <c s="18"/>
      <c s="88" t="str">
        <f>IF(ISERROR(VLOOKUP(1,$CS$113:$DJ$300,18,FALSE))=FALSE,TEXT(VLOOKUP(1,$CS$113:$DJ$300,18,FALSE)/$DJ$112,"0.0%"),"")</f>
        <v>19.6%</v>
      </c>
      <c s="140" t="str">
        <f>IF(ISERROR(VLOOKUP(1,$CS$113:$CV$300,4,FALSE))=FALSE,VLOOKUP(1,$CS$113:$CV$300,4,FALSE),"")</f>
        <v>Walmart Supercenter</v>
      </c>
      <c s="140"/>
      <c s="18"/>
      <c s="88" t="str">
        <f>IF(ISERROR(VLOOKUP(1,$CU$113:$DJ$300,16,FALSE))=FALSE,TEXT(VLOOKUP(1,$CU$113:$DJ$300,16,FALSE)/$DJ$112,"0.0%"),"")</f>
        <v>2.7%</v>
      </c>
      <c s="140" t="str">
        <f>IF(ISERROR(VLOOKUP(1,$CU$113:$CV$300,2,FALSE))=FALSE,VLOOKUP(1,$CU$113:$CV$300,2,FALSE),"")</f>
        <v>CVS</v>
      </c>
      <c s="140"/>
      <c s="50"/>
      <c s="42"/>
      <c r="AL36" s="104"/>
      <c r="CA3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37" spans="1:138" s="43" customFormat="1" ht="11.25" customHeight="1">
      <c r="A37" s="40"/>
      <c s="41"/>
      <c s="40"/>
      <c s="86" t="str">
        <f>IF($Z$2&lt;&gt;"",IF(D36&lt;&gt;"",IF(VLOOKUP(1,$CE$113:$DZ$300,48,FALSE)&lt;&gt;"",IF(VLOOKUP(1,$CE$113:$DM$300,33,FALSE)/$DI$112-(VLOOKUP(1,$CE$113:$DM$300,33,FALSE)-VLOOKUP(1,$CE$113:$DZ$300,48,FALSE))/($DI$112-$DX$112)&gt;0,"+","")&amp;TEXT((VLOOKUP(1,$CE$113:$DM$300,33,FALSE)/$DI$112-(VLOOKUP(1,$CE$113:$DM$300,33,FALSE)-VLOOKUP(1,$CE$113:$DZ$300,48,FALSE))/($DI$112-$DX$112))*100,"0.0")&amp;"pts",""),""),"")</f>
        <v>+0.3pts</v>
      </c>
      <c s="140"/>
      <c s="140"/>
      <c s="16"/>
      <c s="86" t="str">
        <f>IF($Z$2&lt;&gt;"",IF(H36&lt;&gt;"",IF(VLOOKUP(1,$CG$113:$DZ$300,46,FALSE)&lt;&gt;"",IF(VLOOKUP(1,$CG$113:$DM$300,31,FALSE)/$DI$112-(VLOOKUP(1,$CG$113:$DM$300,31,FALSE)-VLOOKUP(1,$CG$113:$DZ$300,46,FALSE))/($DI$112-$DX$112)&gt;0,"+","")&amp;TEXT((VLOOKUP(1,$CG$113:$DM$300,31,FALSE)/$DI$112-(VLOOKUP(1,$CG$113:$DM$300,31,FALSE)-VLOOKUP(1,$CG$113:$DZ$300,46,FALSE))/($DI$112-$DX$112))*100,"0.0")&amp;"pts",""),""),"")</f>
        <v>+0.3pts</v>
      </c>
      <c s="140"/>
      <c s="140"/>
      <c s="17"/>
      <c s="86" t="str">
        <f>IF($Z$2&lt;&gt;"",IF(L36&lt;&gt;"",IF(VLOOKUP(1,$CI$113:$DZ$300,44,FALSE)&lt;&gt;"",IF(VLOOKUP(1,$CI$113:$DM$300,29,FALSE)/$DI$112-(VLOOKUP(1,$CI$113:$DM$300,29,FALSE)-VLOOKUP(1,$CI$113:$DZ$300,44,FALSE))/($DI$112-$DX$112)&gt;0,"+","")&amp;TEXT((VLOOKUP(1,$CI$113:$DM$300,29,FALSE)/$DI$112-(VLOOKUP(1,$CI$113:$DM$300,29,FALSE)-VLOOKUP(1,$CI$113:$DZ$300,44,FALSE))/($DI$112-$DX$112))*100,"0.0")&amp;"pts",""),""),"")</f>
        <v>+1.4pts</v>
      </c>
      <c s="140"/>
      <c s="140"/>
      <c s="17"/>
      <c s="86" t="str">
        <f>IF($Z$2&lt;&gt;"",IF(P36&lt;&gt;"",IF(VLOOKUP(1,$CK$113:$DZ$300,42,FALSE)&lt;&gt;"",IF(VLOOKUP(1,$CK$113:$DM$300,27,FALSE)/$DI$112-(VLOOKUP(1,$CK$113:$DM$300,27,FALSE)-VLOOKUP(1,$CK$113:$DZ$300,42,FALSE))/($DI$112-$DX$112)&gt;0,"+","")&amp;TEXT((VLOOKUP(1,$CK$113:$DM$300,27,FALSE)/$DI$112-(VLOOKUP(1,$CK$113:$DM$300,27,FALSE)-VLOOKUP(1,$CK$113:$DZ$300,42,FALSE))/($DI$112-$DX$112))*100,"0.0")&amp;"pts",""),""),"")</f>
        <v>-0.6pts</v>
      </c>
      <c s="140"/>
      <c s="140"/>
      <c s="61"/>
      <c s="86" t="str">
        <f>IF($Z$2&lt;&gt;"",IF(T36&lt;&gt;"",IF(VLOOKUP(1,$CO$113:$DZ$300,37,FALSE)&lt;&gt;"",IF(VLOOKUP(1,$CO$113:$DJ$300,22,FALSE)/$DJ$112-(VLOOKUP(1,$CO$113:$DJ$300,22,FALSE)-VLOOKUP(1,$CO$113:$DZ$300,37,FALSE))/($DJ$112-$DY$112)&gt;0,"+","")&amp;TEXT((VLOOKUP(1,$CO$113:$DJ$300,22,FALSE)/$DJ$112-(VLOOKUP(1,$CO$113:$DJ$300,22,FALSE)-VLOOKUP(1,$CO$113:$DZ$300,37,FALSE))/($DJ$112-$DY$112))*100,"0.0")&amp;"pts",""),""),"")</f>
        <v>+0.3pts</v>
      </c>
      <c s="140"/>
      <c s="140"/>
      <c s="16"/>
      <c s="86" t="str">
        <f>IF($Z$2&lt;&gt;"",IF(X36&lt;&gt;"",IF(VLOOKUP(1,$CQ$113:$DZ$300,35,FALSE)&lt;&gt;"",IF(VLOOKUP(1,$CQ$113:$DJ$300,20,FALSE)/$DJ$112-(VLOOKUP(1,$CQ$113:$DJ$300,20,FALSE)-VLOOKUP(1,$CQ$113:$DZ$300,35,FALSE))/($DJ$112-$DY$112)&gt;0,"+","")&amp;TEXT((VLOOKUP(1,$CQ$113:$DJ$300,20,FALSE)/$DJ$112-(VLOOKUP(1,$CQ$113:$DJ$300,20,FALSE)-VLOOKUP(1,$CQ$113:$DZ$300,35,FALSE))/($DJ$112-$DY$112))*100,"0.0")&amp;"pts",""),""),"")</f>
        <v>+0.0pts</v>
      </c>
      <c s="140"/>
      <c s="140"/>
      <c s="18"/>
      <c s="86" t="str">
        <f>IF($Z$2&lt;&gt;"",IF(AB36&lt;&gt;"",IF(VLOOKUP(1,$CS$113:$DZ$300,33,FALSE)&lt;&gt;"",IF(VLOOKUP(1,$CS$113:$DJ$300,18,FALSE)/$DJ$112-(VLOOKUP(1,$CS$113:$DJ$300,18,FALSE)-VLOOKUP(1,$CS$113:$DZ$300,33,FALSE))/($DJ$112-$DY$112)&gt;0,"+","")&amp;TEXT((VLOOKUP(1,$CS$113:$DJ$300,18,FALSE)/$DJ$112-(VLOOKUP(1,$CS$113:$DJ$300,18,FALSE)-VLOOKUP(1,$CS$113:$DZ$300,33,FALSE))/($DJ$112-$DY$112))*100,"0.0")&amp;"pts",""),""),"")</f>
        <v>+0.7pts</v>
      </c>
      <c s="140"/>
      <c s="140"/>
      <c s="18"/>
      <c s="86" t="str">
        <f>IF($Z$2&lt;&gt;"",IF(AF36&lt;&gt;"",IF(VLOOKUP(1,$CU$113:$DZ$300,31,FALSE)&lt;&gt;"",IF(VLOOKUP(1,$CU$113:$DJ$300,16,FALSE)/$DJ$112-(VLOOKUP(1,$CU$113:$DJ$300,16,FALSE)-VLOOKUP(1,$CU$113:$DZ$300,31,FALSE))/($DJ$112-$DY$112)&gt;0,"+","")&amp;TEXT((VLOOKUP(1,$CU$113:$DJ$300,16,FALSE)/$DJ$112-(VLOOKUP(1,$CU$113:$DJ$300,16,FALSE)-VLOOKUP(1,$CU$113:$DZ$300,31,FALSE))/($DJ$112-$DY$112))*100,"0.0")&amp;"pts",""),""),"")</f>
        <v>-0.2pts</v>
      </c>
      <c s="140"/>
      <c s="140"/>
      <c s="50"/>
      <c s="42"/>
      <c r="AL37" s="104"/>
      <c r="CA3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38" spans="1:138" s="43" customFormat="1" ht="11.25" customHeight="1">
      <c r="A38" s="40"/>
      <c s="41"/>
      <c s="40"/>
      <c s="87" t="str">
        <f>IF($Z$1&lt;&gt;"",IF(D36&lt;&gt;"",TEXT(VLOOKUP(1,$CE$110:$DI$300,31,FALSE)/1000000,"$#,##0.0")&amp;"MM",""),"")</f>
        <v>$22.9MM</v>
      </c>
      <c s="140"/>
      <c s="140"/>
      <c s="16"/>
      <c s="87" t="str">
        <f>IF($Z$1&lt;&gt;"",IF(H36&lt;&gt;"",TEXT(VLOOKUP(1,$CG$110:$DI$300,29,FALSE)/1000000,"$#,##0.0")&amp;"MM",""),"")</f>
        <v>$63.1MM</v>
      </c>
      <c s="140"/>
      <c s="140"/>
      <c s="17"/>
      <c s="87" t="str">
        <f>IF($Z$1&lt;&gt;"",IF(L36&lt;&gt;"",TEXT(VLOOKUP(1,$CI$110:$DI$300,27,FALSE)/1000000,"$#,##0.0")&amp;"MM",""),"")</f>
        <v>$94.7MM</v>
      </c>
      <c s="140"/>
      <c s="140"/>
      <c s="17"/>
      <c s="87" t="str">
        <f>IF($Z$1&lt;&gt;"",IF(P36&lt;&gt;"",TEXT(VLOOKUP(1,$CK$110:$DI$300,25,FALSE)/1000000,"$#,##0.0")&amp;"MM",""),"")</f>
        <v>$25.8MM</v>
      </c>
      <c s="140"/>
      <c s="140"/>
      <c s="61"/>
      <c s="87" t="str">
        <f>IF($Z$1&lt;&gt;"",IF(T36&lt;&gt;"",TEXT(VLOOKUP(1,$CO$110:$DJ$300,22,FALSE)/1000000,"$#,##0.0")&amp;"MM",""),"")</f>
        <v>$83.2MM</v>
      </c>
      <c s="140"/>
      <c s="140"/>
      <c s="16"/>
      <c s="87" t="str">
        <f>IF($Z$1&lt;&gt;"",IF(X36&lt;&gt;"",TEXT(VLOOKUP(1,$CQ$110:$DJ$300,20,FALSE)/1000000,"$#,##0.0")&amp;"MM",""),"")</f>
        <v>$194.2MM</v>
      </c>
      <c s="140"/>
      <c s="140"/>
      <c s="18"/>
      <c s="87" t="str">
        <f>IF($Z$1&lt;&gt;"",IF(AB36&lt;&gt;"",TEXT(VLOOKUP(1,$CS$110:$DJ$300,18,FALSE)/1000000,"$#,##0.0")&amp;"MM",""),"")</f>
        <v>$353.3MM</v>
      </c>
      <c s="140"/>
      <c s="140"/>
      <c s="18"/>
      <c s="87" t="str">
        <f>IF($Z$1&lt;&gt;"",IF(AF36&lt;&gt;"",TEXT(VLOOKUP(1,$CU$110:$DJ$300,16,FALSE)/1000000,"$#,##0.0")&amp;"MM",""),"")</f>
        <v>$49.5MM</v>
      </c>
      <c s="140"/>
      <c s="140"/>
      <c s="50"/>
      <c s="42"/>
      <c r="AL38" s="84"/>
      <c r="CA3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row>
    <row r="39" spans="1:138" s="43" customFormat="1" ht="11.25" customHeight="1">
      <c r="A39" s="40"/>
      <c s="41"/>
      <c s="40"/>
      <c s="88" t="str">
        <f>IF(ISERROR(VLOOKUP(2,$CE$113:$DM$300,33,FALSE))=FALSE,TEXT(VLOOKUP(2,$CE$113:$DM$300,33,FALSE)/$DI$112,"0.0%"),"")</f>
        <v>2.0%</v>
      </c>
      <c s="140" t="str">
        <f>IF(ISERROR(VLOOKUP(2,$CE$113:$CV$300,18,FALSE))=FALSE,VLOOKUP(2,$CE$113:$CV$300,18,FALSE),"")</f>
        <v>Publix</v>
      </c>
      <c s="140"/>
      <c s="16"/>
      <c s="88" t="str">
        <f>IF(ISERROR(VLOOKUP(2,$CG$113:$DM$300,31,FALSE))=FALSE,TEXT(VLOOKUP(2,$CG$113:$DM$300,31,FALSE)/$DI$112,"0.0%"),"")</f>
        <v>5.0%</v>
      </c>
      <c s="140" t="str">
        <f>IF(ISERROR(VLOOKUP(2,$CG$113:$CV$300,16,FALSE))=FALSE,VLOOKUP(2,$CG$113:$CV$300,16,FALSE),"")</f>
        <v>Sams Club</v>
      </c>
      <c s="140"/>
      <c s="17"/>
      <c s="88" t="str">
        <f>IF(ISERROR(VLOOKUP(2,$CI$113:$DM$300,29,FALSE))=FALSE,TEXT(VLOOKUP(2,$CI$113:$DM$300,29,FALSE)/$DI$112,"0.0%"),"")</f>
        <v>2.5%</v>
      </c>
      <c s="140" t="str">
        <f>IF(ISERROR(VLOOKUP(2,$CI$113:$CV$300,14,FALSE))=FALSE,VLOOKUP(2,$CI$113:$CV$300,14,FALSE),"")</f>
        <v>Walmart Division 1</v>
      </c>
      <c s="140"/>
      <c s="17"/>
      <c s="88" t="str">
        <f>IF(ISERROR(VLOOKUP(2,$CK$113:$DM$300,27,FALSE))=FALSE,TEXT(VLOOKUP(2,$CK$113:$DM$300,27,FALSE)/$DI$112,"0.0%"),"")</f>
        <v>1.8%</v>
      </c>
      <c s="140" t="str">
        <f>IF(ISERROR(VLOOKUP(2,$CK$113:$CV$300,12,FALSE))=FALSE,VLOOKUP(2,$CK$113:$CV$300,12,FALSE),"")</f>
        <v>Walgreens</v>
      </c>
      <c s="140"/>
      <c s="61"/>
      <c s="88" t="str">
        <f>IF(ISERROR(VLOOKUP(2,$CO$113:$DJ$300,22,FALSE))=FALSE,TEXT(VLOOKUP(2,$CO$113:$DJ$300,22,FALSE)/$DJ$112,"0.0%"),"")</f>
        <v>2.8%</v>
      </c>
      <c s="140" t="str">
        <f>IF(ISERROR(VLOOKUP(2,$CO$113:$CV$300,8,FALSE))=FALSE,VLOOKUP(2,$CO$113:$CV$300,8,FALSE),"")</f>
        <v>Shop Rite</v>
      </c>
      <c s="140"/>
      <c s="16"/>
      <c s="88" t="str">
        <f>IF(ISERROR(VLOOKUP(2,$CQ$113:$DJ$300,20,FALSE))=FALSE,TEXT(VLOOKUP(2,$CQ$113:$DJ$300,20,FALSE)/$DJ$112,"0.0%"),"")</f>
        <v>8.6%</v>
      </c>
      <c s="140" t="str">
        <f>IF(ISERROR(VLOOKUP(2,$CQ$113:$CV$300,6,FALSE))=FALSE,VLOOKUP(2,$CQ$113:$CV$300,6,FALSE),"")</f>
        <v>Sams Club</v>
      </c>
      <c s="140"/>
      <c s="18"/>
      <c s="88" t="str">
        <f>IF(ISERROR(VLOOKUP(2,$CS$113:$DJ$300,18,FALSE))=FALSE,TEXT(VLOOKUP(2,$CS$113:$DJ$300,18,FALSE)/$DJ$112,"0.0%"),"")</f>
        <v>2.8%</v>
      </c>
      <c s="140" t="str">
        <f>IF(ISERROR(VLOOKUP(2,$CS$113:$CV$300,4,FALSE))=FALSE,VLOOKUP(2,$CS$113:$CV$300,4,FALSE),"")</f>
        <v>Walmart Division 1</v>
      </c>
      <c s="140"/>
      <c s="18"/>
      <c s="88" t="str">
        <f>IF(ISERROR(VLOOKUP(2,$CU$113:$DJ$300,16,FALSE))=FALSE,TEXT(VLOOKUP(2,$CU$113:$DJ$300,16,FALSE)/$DJ$112,"0.0%"),"")</f>
        <v>2.5%</v>
      </c>
      <c s="140" t="str">
        <f>IF(ISERROR(VLOOKUP(2,$CU$113:$CV$300,2,FALSE))=FALSE,VLOOKUP(2,$CU$113:$CV$300,2,FALSE),"")</f>
        <v>Doll Gen / Doll Gen Mkt</v>
      </c>
      <c s="140"/>
      <c s="50"/>
      <c s="42"/>
      <c r="CA3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40" spans="1:138" s="43" customFormat="1" ht="11.25" customHeight="1">
      <c r="A40" s="40"/>
      <c s="41"/>
      <c s="40"/>
      <c s="86" t="str">
        <f>IF($Z$2&lt;&gt;"",IF(D39&lt;&gt;"",IF(VLOOKUP(2,$CE$113:$DZ$300,48,FALSE)&lt;&gt;"",IF(VLOOKUP(2,$CE$113:$DM$300,33,FALSE)/$DI$112-(VLOOKUP(2,$CE$113:$DM$300,33,FALSE)-VLOOKUP(2,$CE$113:$DZ$300,48,FALSE))/($DI$112-$DX$112)&gt;0,"+","")&amp;TEXT((VLOOKUP(2,$CE$113:$DM$300,33,FALSE)/$DI$112-(VLOOKUP(2,$CE$113:$DM$300,33,FALSE)-VLOOKUP(2,$CE$113:$DZ$300,48,FALSE))/($DI$112-$DX$112))*100,"0.0")&amp;"pts",""),""),"")</f>
        <v>+0.0pts</v>
      </c>
      <c s="140"/>
      <c s="140"/>
      <c s="16"/>
      <c s="86" t="str">
        <f>IF($Z$2&lt;&gt;"",IF(H39&lt;&gt;"",IF(VLOOKUP(2,$CG$113:$DZ$300,46,FALSE)&lt;&gt;"",IF(VLOOKUP(2,$CG$113:$DM$300,31,FALSE)/$DI$112-(VLOOKUP(2,$CG$113:$DM$300,31,FALSE)-VLOOKUP(2,$CG$113:$DZ$300,46,FALSE))/($DI$112-$DX$112)&gt;0,"+","")&amp;TEXT((VLOOKUP(2,$CG$113:$DM$300,31,FALSE)/$DI$112-(VLOOKUP(2,$CG$113:$DM$300,31,FALSE)-VLOOKUP(2,$CG$113:$DZ$300,46,FALSE))/($DI$112-$DX$112))*100,"0.0")&amp;"pts",""),""),"")</f>
        <v>-0.6pts</v>
      </c>
      <c s="140"/>
      <c s="140"/>
      <c s="17"/>
      <c s="86" t="str">
        <f>IF($Z$2&lt;&gt;"",IF(L39&lt;&gt;"",IF(VLOOKUP(2,$CI$113:$DZ$300,44,FALSE)&lt;&gt;"",IF(VLOOKUP(2,$CI$113:$DM$300,29,FALSE)/$DI$112-(VLOOKUP(2,$CI$113:$DM$300,29,FALSE)-VLOOKUP(2,$CI$113:$DZ$300,44,FALSE))/($DI$112-$DX$112)&gt;0,"+","")&amp;TEXT((VLOOKUP(2,$CI$113:$DM$300,29,FALSE)/$DI$112-(VLOOKUP(2,$CI$113:$DM$300,29,FALSE)-VLOOKUP(2,$CI$113:$DZ$300,44,FALSE))/($DI$112-$DX$112))*100,"0.0")&amp;"pts",""),""),"")</f>
        <v>+0.3pts</v>
      </c>
      <c s="140"/>
      <c s="140"/>
      <c s="17"/>
      <c s="86" t="str">
        <f>IF($Z$2&lt;&gt;"",IF(P39&lt;&gt;"",IF(VLOOKUP(2,$CK$113:$DZ$300,42,FALSE)&lt;&gt;"",IF(VLOOKUP(2,$CK$113:$DM$300,27,FALSE)/$DI$112-(VLOOKUP(2,$CK$113:$DM$300,27,FALSE)-VLOOKUP(2,$CK$113:$DZ$300,42,FALSE))/($DI$112-$DX$112)&gt;0,"+","")&amp;TEXT((VLOOKUP(2,$CK$113:$DM$300,27,FALSE)/$DI$112-(VLOOKUP(2,$CK$113:$DM$300,27,FALSE)-VLOOKUP(2,$CK$113:$DZ$300,42,FALSE))/($DI$112-$DX$112))*100,"0.0")&amp;"pts",""),""),"")</f>
        <v>-0.3pts</v>
      </c>
      <c s="140"/>
      <c s="140"/>
      <c s="61"/>
      <c s="86" t="str">
        <f>IF($Z$2&lt;&gt;"",IF(T39&lt;&gt;"",IF(VLOOKUP(2,$CO$113:$DZ$300,37,FALSE)&lt;&gt;"",IF(VLOOKUP(2,$CO$113:$DJ$300,22,FALSE)/$DJ$112-(VLOOKUP(2,$CO$113:$DJ$300,22,FALSE)-VLOOKUP(2,$CO$113:$DZ$300,37,FALSE))/($DJ$112-$DY$112)&gt;0,"+","")&amp;TEXT((VLOOKUP(2,$CO$113:$DJ$300,22,FALSE)/$DJ$112-(VLOOKUP(2,$CO$113:$DJ$300,22,FALSE)-VLOOKUP(2,$CO$113:$DZ$300,37,FALSE))/($DJ$112-$DY$112))*100,"0.0")&amp;"pts",""),""),"")</f>
        <v>-0.4pts</v>
      </c>
      <c s="140"/>
      <c s="140"/>
      <c s="16"/>
      <c s="86" t="str">
        <f>IF($Z$2&lt;&gt;"",IF(X39&lt;&gt;"",IF(VLOOKUP(2,$CQ$113:$DZ$300,35,FALSE)&lt;&gt;"",IF(VLOOKUP(2,$CQ$113:$DJ$300,20,FALSE)/$DJ$112-(VLOOKUP(2,$CQ$113:$DJ$300,20,FALSE)-VLOOKUP(2,$CQ$113:$DZ$300,35,FALSE))/($DJ$112-$DY$112)&gt;0,"+","")&amp;TEXT((VLOOKUP(2,$CQ$113:$DJ$300,20,FALSE)/$DJ$112-(VLOOKUP(2,$CQ$113:$DJ$300,20,FALSE)-VLOOKUP(2,$CQ$113:$DZ$300,35,FALSE))/($DJ$112-$DY$112))*100,"0.0")&amp;"pts",""),""),"")</f>
        <v>+0.1pts</v>
      </c>
      <c s="140"/>
      <c s="140"/>
      <c s="18"/>
      <c s="86" t="str">
        <f>IF($Z$2&lt;&gt;"",IF(AB39&lt;&gt;"",IF(VLOOKUP(2,$CS$113:$DZ$300,33,FALSE)&lt;&gt;"",IF(VLOOKUP(2,$CS$113:$DJ$300,18,FALSE)/$DJ$112-(VLOOKUP(2,$CS$113:$DJ$300,18,FALSE)-VLOOKUP(2,$CS$113:$DZ$300,33,FALSE))/($DJ$112-$DY$112)&gt;0,"+","")&amp;TEXT((VLOOKUP(2,$CS$113:$DJ$300,18,FALSE)/$DJ$112-(VLOOKUP(2,$CS$113:$DJ$300,18,FALSE)-VLOOKUP(2,$CS$113:$DZ$300,33,FALSE))/($DJ$112-$DY$112))*100,"0.0")&amp;"pts",""),""),"")</f>
        <v>+0.6pts</v>
      </c>
      <c s="140"/>
      <c s="140"/>
      <c s="18"/>
      <c s="86" t="str">
        <f>IF($Z$2&lt;&gt;"",IF(AF39&lt;&gt;"",IF(VLOOKUP(2,$CU$113:$DZ$300,31,FALSE)&lt;&gt;"",IF(VLOOKUP(2,$CU$113:$DJ$300,16,FALSE)/$DJ$112-(VLOOKUP(2,$CU$113:$DJ$300,16,FALSE)-VLOOKUP(2,$CU$113:$DZ$300,31,FALSE))/($DJ$112-$DY$112)&gt;0,"+","")&amp;TEXT((VLOOKUP(2,$CU$113:$DJ$300,16,FALSE)/$DJ$112-(VLOOKUP(2,$CU$113:$DJ$300,16,FALSE)-VLOOKUP(2,$CU$113:$DZ$300,31,FALSE))/($DJ$112-$DY$112))*100,"0.0")&amp;"pts",""),""),"")</f>
        <v>-0.1pts</v>
      </c>
      <c s="140"/>
      <c s="140"/>
      <c s="50"/>
      <c s="42"/>
      <c r="CA4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41" spans="1:138" s="43" customFormat="1" ht="11.25" customHeight="1">
      <c r="A41" s="40"/>
      <c s="41"/>
      <c s="40"/>
      <c s="87" t="str">
        <f>IF($Z$1&lt;&gt;"",IF(D39&lt;&gt;"",TEXT(VLOOKUP(2,$CE$110:$DI$300,31,FALSE)/1000000,"$#,##0.0")&amp;"MM",""),"")</f>
        <v>$15.4MM</v>
      </c>
      <c s="140"/>
      <c s="140"/>
      <c s="16"/>
      <c s="87" t="str">
        <f>IF($Z$1&lt;&gt;"",IF(H39&lt;&gt;"",TEXT(VLOOKUP(2,$CG$110:$DI$300,29,FALSE)/1000000,"$#,##0.0")&amp;"MM",""),"")</f>
        <v>$38.8MM</v>
      </c>
      <c s="140"/>
      <c s="140"/>
      <c s="17"/>
      <c s="87" t="str">
        <f>IF($Z$1&lt;&gt;"",IF(L39&lt;&gt;"",TEXT(VLOOKUP(2,$CI$110:$DI$300,27,FALSE)/1000000,"$#,##0.0")&amp;"MM",""),"")</f>
        <v>$19.7MM</v>
      </c>
      <c s="140"/>
      <c s="140"/>
      <c s="17"/>
      <c s="87" t="str">
        <f>IF($Z$1&lt;&gt;"",IF(P39&lt;&gt;"",TEXT(VLOOKUP(2,$CK$110:$DI$300,25,FALSE)/1000000,"$#,##0.0")&amp;"MM",""),"")</f>
        <v>$14.2MM</v>
      </c>
      <c s="140"/>
      <c s="140"/>
      <c s="61"/>
      <c s="87" t="str">
        <f>IF($Z$1&lt;&gt;"",IF(T39&lt;&gt;"",TEXT(VLOOKUP(2,$CO$110:$DJ$300,22,FALSE)/1000000,"$#,##0.0")&amp;"MM",""),"")</f>
        <v>$49.9MM</v>
      </c>
      <c s="140"/>
      <c s="140"/>
      <c s="16"/>
      <c s="87" t="str">
        <f>IF($Z$1&lt;&gt;"",IF(X39&lt;&gt;"",TEXT(VLOOKUP(2,$CQ$110:$DJ$300,20,FALSE)/1000000,"$#,##0.0")&amp;"MM",""),"")</f>
        <v>$155.7MM</v>
      </c>
      <c s="140"/>
      <c s="140"/>
      <c s="18"/>
      <c s="87" t="str">
        <f>IF($Z$1&lt;&gt;"",IF(AB39&lt;&gt;"",TEXT(VLOOKUP(2,$CS$110:$DJ$300,18,FALSE)/1000000,"$#,##0.0")&amp;"MM",""),"")</f>
        <v>$51.4MM</v>
      </c>
      <c s="140"/>
      <c s="140"/>
      <c s="18"/>
      <c s="87" t="str">
        <f>IF($Z$1&lt;&gt;"",IF(AF39&lt;&gt;"",TEXT(VLOOKUP(2,$CU$110:$DJ$300,16,FALSE)/1000000,"$#,##0.0")&amp;"MM",""),"")</f>
        <v>$44.8MM</v>
      </c>
      <c s="140"/>
      <c s="140"/>
      <c s="50"/>
      <c s="42"/>
      <c r="CA4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row>
    <row r="42" spans="1:138" s="43" customFormat="1" ht="11.25" customHeight="1">
      <c r="A42" s="40"/>
      <c s="41"/>
      <c s="40"/>
      <c s="88" t="str">
        <f>IF(ISERROR(VLOOKUP(3,$CE$113:$DM$300,33,FALSE))=FALSE,TEXT(VLOOKUP(3,$CE$113:$DM$300,33,FALSE)/$DI$112,"0.0%"),"")</f>
        <v>1.1%</v>
      </c>
      <c s="140" t="str">
        <f>IF(ISERROR(VLOOKUP(3,$CE$113:$CV$300,18,FALSE))=FALSE,VLOOKUP(3,$CE$113:$CV$300,18,FALSE),"")</f>
        <v>Shop Rite</v>
      </c>
      <c s="140"/>
      <c s="16"/>
      <c s="88" t="str">
        <f>IF(ISERROR(VLOOKUP(3,$CG$113:$DM$300,31,FALSE))=FALSE,TEXT(VLOOKUP(3,$CG$113:$DM$300,31,FALSE)/$DI$112,"0.0%"),"")</f>
        <v>2.9%</v>
      </c>
      <c s="140" t="str">
        <f>IF(ISERROR(VLOOKUP(3,$CG$113:$CV$300,16,FALSE))=FALSE,VLOOKUP(3,$CG$113:$CV$300,16,FALSE),"")</f>
        <v>BJs Wholesale</v>
      </c>
      <c s="140"/>
      <c s="17"/>
      <c s="88" t="str">
        <f>IF(ISERROR(VLOOKUP(3,$CI$113:$DM$300,29,FALSE))=FALSE,TEXT(VLOOKUP(3,$CI$113:$DM$300,29,FALSE)/$DI$112,"0.0%"),"")</f>
        <v>0.8%</v>
      </c>
      <c s="140" t="str">
        <f>IF(ISERROR(VLOOKUP(3,$CI$113:$CV$300,14,FALSE))=FALSE,VLOOKUP(3,$CI$113:$CV$300,14,FALSE),"")</f>
        <v>Walmart Neighborhood Market</v>
      </c>
      <c s="140"/>
      <c s="17"/>
      <c s="88" t="str">
        <f>IF(ISERROR(VLOOKUP(3,$CK$113:$DM$300,27,FALSE))=FALSE,TEXT(VLOOKUP(3,$CK$113:$DM$300,27,FALSE)/$DI$112,"0.0%"),"")</f>
        <v>1.4%</v>
      </c>
      <c s="140" t="str">
        <f>IF(ISERROR(VLOOKUP(3,$CK$113:$CV$300,12,FALSE))=FALSE,VLOOKUP(3,$CK$113:$CV$300,12,FALSE),"")</f>
        <v>Doll Gen / Doll Gen Mkt</v>
      </c>
      <c s="140"/>
      <c s="61"/>
      <c s="88" t="str">
        <f>IF(ISERROR(VLOOKUP(3,$CO$113:$DJ$300,22,FALSE))=FALSE,TEXT(VLOOKUP(3,$CO$113:$DJ$300,22,FALSE)/$DJ$112,"0.0%"),"")</f>
        <v>2.2%</v>
      </c>
      <c s="140" t="str">
        <f>IF(ISERROR(VLOOKUP(3,$CO$113:$CV$300,8,FALSE))=FALSE,VLOOKUP(3,$CO$113:$CV$300,8,FALSE),"")</f>
        <v>Meijer</v>
      </c>
      <c s="140"/>
      <c s="16"/>
      <c s="88" t="str">
        <f>IF(ISERROR(VLOOKUP(3,$CQ$113:$DJ$300,20,FALSE))=FALSE,TEXT(VLOOKUP(3,$CQ$113:$DJ$300,20,FALSE)/$DJ$112,"0.0%"),"")</f>
        <v>4.1%</v>
      </c>
      <c s="140" t="str">
        <f>IF(ISERROR(VLOOKUP(3,$CQ$113:$CV$300,6,FALSE))=FALSE,VLOOKUP(3,$CQ$113:$CV$300,6,FALSE),"")</f>
        <v>BJs Wholesale</v>
      </c>
      <c s="140"/>
      <c s="18"/>
      <c s="88" t="str">
        <f>IF(ISERROR(VLOOKUP(3,$CS$113:$DJ$300,18,FALSE))=FALSE,TEXT(VLOOKUP(3,$CS$113:$DJ$300,18,FALSE)/$DJ$112,"0.0%"),"")</f>
        <v>1.1%</v>
      </c>
      <c s="140" t="str">
        <f>IF(ISERROR(VLOOKUP(3,$CS$113:$CV$300,4,FALSE))=FALSE,VLOOKUP(3,$CS$113:$CV$300,4,FALSE),"")</f>
        <v>Walmart Neighborhood Market</v>
      </c>
      <c s="140"/>
      <c s="18"/>
      <c s="88" t="str">
        <f>IF(ISERROR(VLOOKUP(3,$CU$113:$DJ$300,16,FALSE))=FALSE,TEXT(VLOOKUP(3,$CU$113:$DJ$300,16,FALSE)/$DJ$112,"0.0%"),"")</f>
        <v>2.1%</v>
      </c>
      <c s="140" t="str">
        <f>IF(ISERROR(VLOOKUP(3,$CU$113:$CV$300,2,FALSE))=FALSE,VLOOKUP(3,$CU$113:$CV$300,2,FALSE),"")</f>
        <v>Walgreens</v>
      </c>
      <c s="140"/>
      <c s="50"/>
      <c s="42"/>
      <c r="CA4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43" spans="1:138" s="43" customFormat="1" ht="11.25" customHeight="1">
      <c r="A43" s="40"/>
      <c s="41"/>
      <c s="40"/>
      <c s="86" t="str">
        <f>IF($Z$2&lt;&gt;"",IF(D42&lt;&gt;"",IF(VLOOKUP(3,$CE$113:$DZ$300,48,FALSE)&lt;&gt;"",IF(VLOOKUP(3,$CE$113:$DM$300,33,FALSE)/$DI$112-(VLOOKUP(3,$CE$113:$DM$300,33,FALSE)-VLOOKUP(3,$CE$113:$DZ$300,48,FALSE))/($DI$112-$DX$112)&gt;0,"+","")&amp;TEXT((VLOOKUP(3,$CE$113:$DM$300,33,FALSE)/$DI$112-(VLOOKUP(3,$CE$113:$DM$300,33,FALSE)-VLOOKUP(3,$CE$113:$DZ$300,48,FALSE))/($DI$112-$DX$112))*100,"0.0")&amp;"pts",""),""),"")</f>
        <v>-0.2pts</v>
      </c>
      <c s="140"/>
      <c s="140"/>
      <c s="16"/>
      <c s="86" t="str">
        <f>IF($Z$2&lt;&gt;"",IF(H42&lt;&gt;"",IF(VLOOKUP(3,$CG$113:$DZ$300,46,FALSE)&lt;&gt;"",IF(VLOOKUP(3,$CG$113:$DM$300,31,FALSE)/$DI$112-(VLOOKUP(3,$CG$113:$DM$300,31,FALSE)-VLOOKUP(3,$CG$113:$DZ$300,46,FALSE))/($DI$112-$DX$112)&gt;0,"+","")&amp;TEXT((VLOOKUP(3,$CG$113:$DM$300,31,FALSE)/$DI$112-(VLOOKUP(3,$CG$113:$DM$300,31,FALSE)-VLOOKUP(3,$CG$113:$DZ$300,46,FALSE))/($DI$112-$DX$112))*100,"0.0")&amp;"pts",""),""),"")</f>
        <v>+0.7pts</v>
      </c>
      <c s="140"/>
      <c s="140"/>
      <c s="17"/>
      <c s="86" t="str">
        <f>IF($Z$2&lt;&gt;"",IF(L42&lt;&gt;"",IF(VLOOKUP(3,$CI$113:$DZ$300,44,FALSE)&lt;&gt;"",IF(VLOOKUP(3,$CI$113:$DM$300,29,FALSE)/$DI$112-(VLOOKUP(3,$CI$113:$DM$300,29,FALSE)-VLOOKUP(3,$CI$113:$DZ$300,44,FALSE))/($DI$112-$DX$112)&gt;0,"+","")&amp;TEXT((VLOOKUP(3,$CI$113:$DM$300,29,FALSE)/$DI$112-(VLOOKUP(3,$CI$113:$DM$300,29,FALSE)-VLOOKUP(3,$CI$113:$DZ$300,44,FALSE))/($DI$112-$DX$112))*100,"0.0")&amp;"pts",""),""),"")</f>
        <v>+0.3pts</v>
      </c>
      <c s="140"/>
      <c s="140"/>
      <c s="17"/>
      <c s="86" t="str">
        <f>IF($Z$2&lt;&gt;"",IF(P42&lt;&gt;"",IF(VLOOKUP(3,$CK$113:$DZ$300,42,FALSE)&lt;&gt;"",IF(VLOOKUP(3,$CK$113:$DM$300,27,FALSE)/$DI$112-(VLOOKUP(3,$CK$113:$DM$300,27,FALSE)-VLOOKUP(3,$CK$113:$DZ$300,42,FALSE))/($DI$112-$DX$112)&gt;0,"+","")&amp;TEXT((VLOOKUP(3,$CK$113:$DM$300,27,FALSE)/$DI$112-(VLOOKUP(3,$CK$113:$DM$300,27,FALSE)-VLOOKUP(3,$CK$113:$DZ$300,42,FALSE))/($DI$112-$DX$112))*100,"0.0")&amp;"pts",""),""),"")</f>
        <v>+0.0pts</v>
      </c>
      <c s="140"/>
      <c s="140"/>
      <c s="61"/>
      <c s="86" t="str">
        <f>IF($Z$2&lt;&gt;"",IF(T42&lt;&gt;"",IF(VLOOKUP(3,$CO$113:$DZ$300,37,FALSE)&lt;&gt;"",IF(VLOOKUP(3,$CO$113:$DJ$300,22,FALSE)/$DJ$112-(VLOOKUP(3,$CO$113:$DJ$300,22,FALSE)-VLOOKUP(3,$CO$113:$DZ$300,37,FALSE))/($DJ$112-$DY$112)&gt;0,"+","")&amp;TEXT((VLOOKUP(3,$CO$113:$DJ$300,22,FALSE)/$DJ$112-(VLOOKUP(3,$CO$113:$DJ$300,22,FALSE)-VLOOKUP(3,$CO$113:$DZ$300,37,FALSE))/($DJ$112-$DY$112))*100,"0.0")&amp;"pts",""),""),"")</f>
        <v>+0.2pts</v>
      </c>
      <c s="140"/>
      <c s="140"/>
      <c s="16"/>
      <c s="86" t="str">
        <f>IF($Z$2&lt;&gt;"",IF(X42&lt;&gt;"",IF(VLOOKUP(3,$CQ$113:$DZ$300,35,FALSE)&lt;&gt;"",IF(VLOOKUP(3,$CQ$113:$DJ$300,20,FALSE)/$DJ$112-(VLOOKUP(3,$CQ$113:$DJ$300,20,FALSE)-VLOOKUP(3,$CQ$113:$DZ$300,35,FALSE))/($DJ$112-$DY$112)&gt;0,"+","")&amp;TEXT((VLOOKUP(3,$CQ$113:$DJ$300,20,FALSE)/$DJ$112-(VLOOKUP(3,$CQ$113:$DJ$300,20,FALSE)-VLOOKUP(3,$CQ$113:$DZ$300,35,FALSE))/($DJ$112-$DY$112))*100,"0.0")&amp;"pts",""),""),"")</f>
        <v>+0.3pts</v>
      </c>
      <c s="140"/>
      <c s="140"/>
      <c s="18"/>
      <c s="86" t="str">
        <f>IF($Z$2&lt;&gt;"",IF(AB42&lt;&gt;"",IF(VLOOKUP(3,$CS$113:$DZ$300,33,FALSE)&lt;&gt;"",IF(VLOOKUP(3,$CS$113:$DJ$300,18,FALSE)/$DJ$112-(VLOOKUP(3,$CS$113:$DJ$300,18,FALSE)-VLOOKUP(3,$CS$113:$DZ$300,33,FALSE))/($DJ$112-$DY$112)&gt;0,"+","")&amp;TEXT((VLOOKUP(3,$CS$113:$DJ$300,18,FALSE)/$DJ$112-(VLOOKUP(3,$CS$113:$DJ$300,18,FALSE)-VLOOKUP(3,$CS$113:$DZ$300,33,FALSE))/($DJ$112-$DY$112))*100,"0.0")&amp;"pts",""),""),"")</f>
        <v>+0.3pts</v>
      </c>
      <c s="140"/>
      <c s="140"/>
      <c s="18"/>
      <c s="86" t="str">
        <f>IF($Z$2&lt;&gt;"",IF(AF42&lt;&gt;"",IF(VLOOKUP(3,$CU$113:$DZ$300,31,FALSE)&lt;&gt;"",IF(VLOOKUP(3,$CU$113:$DJ$300,16,FALSE)/$DJ$112-(VLOOKUP(3,$CU$113:$DJ$300,16,FALSE)-VLOOKUP(3,$CU$113:$DZ$300,31,FALSE))/($DJ$112-$DY$112)&gt;0,"+","")&amp;TEXT((VLOOKUP(3,$CU$113:$DJ$300,16,FALSE)/$DJ$112-(VLOOKUP(3,$CU$113:$DJ$300,16,FALSE)-VLOOKUP(3,$CU$113:$DZ$300,31,FALSE))/($DJ$112-$DY$112))*100,"0.0")&amp;"pts",""),""),"")</f>
        <v>+0.2pts</v>
      </c>
      <c s="140"/>
      <c s="140"/>
      <c s="50"/>
      <c s="42"/>
      <c r="CA4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44" spans="1:138" s="43" customFormat="1" ht="11.25" customHeight="1">
      <c r="A44" s="40"/>
      <c s="41"/>
      <c s="40"/>
      <c s="87" t="str">
        <f>IF($Z$1&lt;&gt;"",IF(D42&lt;&gt;"",TEXT(VLOOKUP(3,$CE$110:$DI$300,31,FALSE)/1000000,"$#,##0.0")&amp;"MM",""),"")</f>
        <v>$8.9MM</v>
      </c>
      <c s="140"/>
      <c s="140"/>
      <c s="16"/>
      <c s="87" t="str">
        <f>IF($Z$1&lt;&gt;"",IF(H42&lt;&gt;"",TEXT(VLOOKUP(3,$CG$110:$DI$300,29,FALSE)/1000000,"$#,##0.0")&amp;"MM",""),"")</f>
        <v>$22.7MM</v>
      </c>
      <c s="140"/>
      <c s="140"/>
      <c s="17"/>
      <c s="87" t="str">
        <f>IF($Z$1&lt;&gt;"",IF(L42&lt;&gt;"",TEXT(VLOOKUP(3,$CI$110:$DI$300,27,FALSE)/1000000,"$#,##0.0")&amp;"MM",""),"")</f>
        <v>$6.3MM</v>
      </c>
      <c s="140"/>
      <c s="140"/>
      <c s="17"/>
      <c s="87" t="str">
        <f>IF($Z$1&lt;&gt;"",IF(P42&lt;&gt;"",TEXT(VLOOKUP(3,$CK$110:$DI$300,25,FALSE)/1000000,"$#,##0.0")&amp;"MM",""),"")</f>
        <v>$11.3MM</v>
      </c>
      <c s="140"/>
      <c s="140"/>
      <c s="61"/>
      <c s="87" t="str">
        <f>IF($Z$1&lt;&gt;"",IF(T42&lt;&gt;"",TEXT(VLOOKUP(3,$CO$110:$DJ$300,22,FALSE)/1000000,"$#,##0.0")&amp;"MM",""),"")</f>
        <v>$40.0MM</v>
      </c>
      <c s="140"/>
      <c s="140"/>
      <c s="16"/>
      <c s="87" t="str">
        <f>IF($Z$1&lt;&gt;"",IF(X42&lt;&gt;"",TEXT(VLOOKUP(3,$CQ$110:$DJ$300,20,FALSE)/1000000,"$#,##0.0")&amp;"MM",""),"")</f>
        <v>$74.1MM</v>
      </c>
      <c s="140"/>
      <c s="140"/>
      <c s="18"/>
      <c s="87" t="str">
        <f>IF($Z$1&lt;&gt;"",IF(AB42&lt;&gt;"",TEXT(VLOOKUP(3,$CS$110:$DJ$300,18,FALSE)/1000000,"$#,##0.0")&amp;"MM",""),"")</f>
        <v>$20.3MM</v>
      </c>
      <c s="140"/>
      <c s="140"/>
      <c s="18"/>
      <c s="87" t="str">
        <f>IF($Z$1&lt;&gt;"",IF(AF42&lt;&gt;"",TEXT(VLOOKUP(3,$CU$110:$DJ$300,16,FALSE)/1000000,"$#,##0.0")&amp;"MM",""),"")</f>
        <v>$38.6MM</v>
      </c>
      <c s="140"/>
      <c s="140"/>
      <c s="50"/>
      <c s="42"/>
      <c r="CA4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row>
    <row r="45" spans="1:138" s="43" customFormat="1" ht="11.25" customHeight="1">
      <c r="A45" s="40"/>
      <c s="41"/>
      <c s="40"/>
      <c s="88" t="str">
        <f>IF(ISERROR(VLOOKUP(4,$CE$113:$DM$300,33,FALSE))=FALSE,TEXT(VLOOKUP(4,$CE$113:$DM$300,33,FALSE)/$DI$112,"0.0%"),"")</f>
        <v>0.9%</v>
      </c>
      <c s="140" t="str">
        <f>IF(ISERROR(VLOOKUP(4,$CE$113:$CV$300,18,FALSE))=FALSE,VLOOKUP(4,$CE$113:$CV$300,18,FALSE),"")</f>
        <v>Meijer</v>
      </c>
      <c s="140"/>
      <c s="16"/>
      <c s="88">
        <f>IF(ISERROR(VLOOKUP(4,$CG$113:$DM$300,31,FALSE))=FALSE,TEXT(VLOOKUP(4,$CG$113:$DM$300,31,FALSE)/$DI$112,"0.0%"),"")</f>
      </c>
      <c s="140">
        <f>IF(ISERROR(VLOOKUP(4,$CG$113:$CV$300,16,FALSE))=FALSE,VLOOKUP(4,$CG$113:$CV$300,16,FALSE),"")</f>
      </c>
      <c s="140"/>
      <c s="17"/>
      <c s="88">
        <f>IF(ISERROR(VLOOKUP(4,$CI$113:$DM$300,29,FALSE))=FALSE,TEXT(VLOOKUP(4,$CI$113:$DM$300,29,FALSE)/$DI$112,"0.0%"),"")</f>
      </c>
      <c s="140">
        <f>IF(ISERROR(VLOOKUP(4,$CI$113:$CV$300,14,FALSE))=FALSE,VLOOKUP(4,$CI$113:$CV$300,14,FALSE),"")</f>
      </c>
      <c s="140"/>
      <c s="17"/>
      <c s="88" t="str">
        <f>IF(ISERROR(VLOOKUP(4,$CK$113:$DM$300,27,FALSE))=FALSE,TEXT(VLOOKUP(4,$CK$113:$DM$300,27,FALSE)/$DI$112,"0.0%"),"")</f>
        <v>1.0%</v>
      </c>
      <c s="140" t="str">
        <f>IF(ISERROR(VLOOKUP(4,$CK$113:$CV$300,12,FALSE))=FALSE,VLOOKUP(4,$CK$113:$CV$300,12,FALSE),"")</f>
        <v>Family Dollar</v>
      </c>
      <c s="140"/>
      <c s="61"/>
      <c s="88" t="str">
        <f>IF(ISERROR(VLOOKUP(4,$CO$113:$DJ$300,22,FALSE))=FALSE,TEXT(VLOOKUP(4,$CO$113:$DJ$300,22,FALSE)/$DJ$112,"0.0%"),"")</f>
        <v>2.0%</v>
      </c>
      <c s="140" t="str">
        <f>IF(ISERROR(VLOOKUP(4,$CO$113:$CV$300,8,FALSE))=FALSE,VLOOKUP(4,$CO$113:$CV$300,8,FALSE),"")</f>
        <v>Publix</v>
      </c>
      <c s="140"/>
      <c s="16"/>
      <c s="88">
        <f>IF(ISERROR(VLOOKUP(4,$CQ$113:$DJ$300,20,FALSE))=FALSE,TEXT(VLOOKUP(4,$CQ$113:$DJ$300,20,FALSE)/$DJ$112,"0.0%"),"")</f>
      </c>
      <c s="140">
        <f>IF(ISERROR(VLOOKUP(4,$CQ$113:$CV$300,6,FALSE))=FALSE,VLOOKUP(4,$CQ$113:$CV$300,6,FALSE),"")</f>
      </c>
      <c s="140"/>
      <c s="18"/>
      <c s="88">
        <f>IF(ISERROR(VLOOKUP(4,$CS$113:$DJ$300,18,FALSE))=FALSE,TEXT(VLOOKUP(4,$CS$113:$DJ$300,18,FALSE)/$DJ$112,"0.0%"),"")</f>
      </c>
      <c s="140">
        <f>IF(ISERROR(VLOOKUP(4,$CS$113:$CV$300,4,FALSE))=FALSE,VLOOKUP(4,$CS$113:$CV$300,4,FALSE),"")</f>
      </c>
      <c s="140"/>
      <c s="18"/>
      <c s="88" t="str">
        <f>IF(ISERROR(VLOOKUP(4,$CU$113:$DJ$300,16,FALSE))=FALSE,TEXT(VLOOKUP(4,$CU$113:$DJ$300,16,FALSE)/$DJ$112,"0.0%"),"")</f>
        <v>1.8%</v>
      </c>
      <c s="140" t="str">
        <f>IF(ISERROR(VLOOKUP(4,$CU$113:$CV$300,2,FALSE))=FALSE,VLOOKUP(4,$CU$113:$CV$300,2,FALSE),"")</f>
        <v>Family Dollar</v>
      </c>
      <c s="140"/>
      <c s="50"/>
      <c s="42"/>
      <c r="CA4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46" spans="1:138" s="43" customFormat="1" ht="11.25" customHeight="1">
      <c r="A46" s="40"/>
      <c s="41"/>
      <c s="40"/>
      <c s="86" t="str">
        <f>IF($Z$2&lt;&gt;"",IF(D45&lt;&gt;"",IF(VLOOKUP(4,$CE$113:$DZ$300,48,FALSE)&lt;&gt;"",IF(VLOOKUP(4,$CE$113:$DM$300,33,FALSE)/$DI$112-(VLOOKUP(4,$CE$113:$DM$300,33,FALSE)-VLOOKUP(4,$CE$113:$DZ$300,48,FALSE))/($DI$112-$DX$112)&gt;0,"+","")&amp;TEXT((VLOOKUP(4,$CE$113:$DM$300,33,FALSE)/$DI$112-(VLOOKUP(4,$CE$113:$DM$300,33,FALSE)-VLOOKUP(4,$CE$113:$DZ$300,48,FALSE))/($DI$112-$DX$112))*100,"0.0")&amp;"pts",""),""),"")</f>
        <v>-0.1pts</v>
      </c>
      <c s="140"/>
      <c s="140"/>
      <c s="16"/>
      <c s="86">
        <f>IF($Z$2&lt;&gt;"",IF(H45&lt;&gt;"",IF(VLOOKUP(4,$CG$113:$DZ$300,46,FALSE)&lt;&gt;"",IF(VLOOKUP(4,$CG$113:$DM$300,31,FALSE)/$DI$112-(VLOOKUP(4,$CG$113:$DM$300,31,FALSE)-VLOOKUP(4,$CG$113:$DZ$300,46,FALSE))/($DI$112-$DX$112)&gt;0,"+","")&amp;TEXT((VLOOKUP(4,$CG$113:$DM$300,31,FALSE)/$DI$112-(VLOOKUP(4,$CG$113:$DM$300,31,FALSE)-VLOOKUP(4,$CG$113:$DZ$300,46,FALSE))/($DI$112-$DX$112))*100,"0.0")&amp;"pts",""),""),"")</f>
      </c>
      <c s="140"/>
      <c s="140"/>
      <c s="17"/>
      <c s="86">
        <f>IF($Z$2&lt;&gt;"",IF(L45&lt;&gt;"",IF(VLOOKUP(4,$CI$113:$DZ$300,44,FALSE)&lt;&gt;"",IF(VLOOKUP(4,$CI$113:$DM$300,29,FALSE)/$DI$112-(VLOOKUP(4,$CI$113:$DM$300,29,FALSE)-VLOOKUP(4,$CI$113:$DZ$300,44,FALSE))/($DI$112-$DX$112)&gt;0,"+","")&amp;TEXT((VLOOKUP(4,$CI$113:$DM$300,29,FALSE)/$DI$112-(VLOOKUP(4,$CI$113:$DM$300,29,FALSE)-VLOOKUP(4,$CI$113:$DZ$300,44,FALSE))/($DI$112-$DX$112))*100,"0.0")&amp;"pts",""),""),"")</f>
      </c>
      <c s="140"/>
      <c s="140"/>
      <c s="17"/>
      <c s="86" t="str">
        <f>IF($Z$2&lt;&gt;"",IF(P45&lt;&gt;"",IF(VLOOKUP(4,$CK$113:$DZ$300,42,FALSE)&lt;&gt;"",IF(VLOOKUP(4,$CK$113:$DM$300,27,FALSE)/$DI$112-(VLOOKUP(4,$CK$113:$DM$300,27,FALSE)-VLOOKUP(4,$CK$113:$DZ$300,42,FALSE))/($DI$112-$DX$112)&gt;0,"+","")&amp;TEXT((VLOOKUP(4,$CK$113:$DM$300,27,FALSE)/$DI$112-(VLOOKUP(4,$CK$113:$DM$300,27,FALSE)-VLOOKUP(4,$CK$113:$DZ$300,42,FALSE))/($DI$112-$DX$112))*100,"0.0")&amp;"pts",""),""),"")</f>
        <v>+0.0pts</v>
      </c>
      <c s="140"/>
      <c s="140"/>
      <c s="61"/>
      <c s="86" t="str">
        <f>IF($Z$2&lt;&gt;"",IF(T45&lt;&gt;"",IF(VLOOKUP(4,$CO$113:$DZ$300,37,FALSE)&lt;&gt;"",IF(VLOOKUP(4,$CO$113:$DJ$300,22,FALSE)/$DJ$112-(VLOOKUP(4,$CO$113:$DJ$300,22,FALSE)-VLOOKUP(4,$CO$113:$DZ$300,37,FALSE))/($DJ$112-$DY$112)&gt;0,"+","")&amp;TEXT((VLOOKUP(4,$CO$113:$DJ$300,22,FALSE)/$DJ$112-(VLOOKUP(4,$CO$113:$DJ$300,22,FALSE)-VLOOKUP(4,$CO$113:$DZ$300,37,FALSE))/($DJ$112-$DY$112))*100,"0.0")&amp;"pts",""),""),"")</f>
        <v>-0.4pts</v>
      </c>
      <c s="140"/>
      <c s="140"/>
      <c s="16"/>
      <c s="86">
        <f>IF($Z$2&lt;&gt;"",IF(X45&lt;&gt;"",IF(VLOOKUP(4,$CQ$113:$DZ$300,35,FALSE)&lt;&gt;"",IF(VLOOKUP(4,$CQ$113:$DJ$300,20,FALSE)/$DJ$112-(VLOOKUP(4,$CQ$113:$DJ$300,20,FALSE)-VLOOKUP(4,$CQ$113:$DZ$300,35,FALSE))/($DJ$112-$DY$112)&gt;0,"+","")&amp;TEXT((VLOOKUP(4,$CQ$113:$DJ$300,20,FALSE)/$DJ$112-(VLOOKUP(4,$CQ$113:$DJ$300,20,FALSE)-VLOOKUP(4,$CQ$113:$DZ$300,35,FALSE))/($DJ$112-$DY$112))*100,"0.0")&amp;"pts",""),""),"")</f>
      </c>
      <c s="140"/>
      <c s="140"/>
      <c s="18"/>
      <c s="86">
        <f>IF($Z$2&lt;&gt;"",IF(AB45&lt;&gt;"",IF(VLOOKUP(4,$CS$113:$DZ$300,33,FALSE)&lt;&gt;"",IF(VLOOKUP(4,$CS$113:$DJ$300,18,FALSE)/$DJ$112-(VLOOKUP(4,$CS$113:$DJ$300,18,FALSE)-VLOOKUP(4,$CS$113:$DZ$300,33,FALSE))/($DJ$112-$DY$112)&gt;0,"+","")&amp;TEXT((VLOOKUP(4,$CS$113:$DJ$300,18,FALSE)/$DJ$112-(VLOOKUP(4,$CS$113:$DJ$300,18,FALSE)-VLOOKUP(4,$CS$113:$DZ$300,33,FALSE))/($DJ$112-$DY$112))*100,"0.0")&amp;"pts",""),""),"")</f>
      </c>
      <c s="140"/>
      <c s="140"/>
      <c s="18"/>
      <c s="86" t="str">
        <f>IF($Z$2&lt;&gt;"",IF(AF45&lt;&gt;"",IF(VLOOKUP(4,$CU$113:$DZ$300,31,FALSE)&lt;&gt;"",IF(VLOOKUP(4,$CU$113:$DJ$300,16,FALSE)/$DJ$112-(VLOOKUP(4,$CU$113:$DJ$300,16,FALSE)-VLOOKUP(4,$CU$113:$DZ$300,31,FALSE))/($DJ$112-$DY$112)&gt;0,"+","")&amp;TEXT((VLOOKUP(4,$CU$113:$DJ$300,16,FALSE)/$DJ$112-(VLOOKUP(4,$CU$113:$DJ$300,16,FALSE)-VLOOKUP(4,$CU$113:$DZ$300,31,FALSE))/($DJ$112-$DY$112))*100,"0.0")&amp;"pts",""),""),"")</f>
        <v>+0.1pts</v>
      </c>
      <c s="140"/>
      <c s="140"/>
      <c s="50"/>
      <c s="42"/>
      <c r="CA4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47" spans="1:138" s="43" customFormat="1" ht="11.25" customHeight="1">
      <c r="A47" s="40"/>
      <c s="41"/>
      <c s="40"/>
      <c s="87" t="str">
        <f>IF($Z$1&lt;&gt;"",IF(D45&lt;&gt;"",TEXT(VLOOKUP(4,$CE$110:$DI$300,31,FALSE)/1000000,"$#,##0.0")&amp;"MM",""),"")</f>
        <v>$7.4MM</v>
      </c>
      <c s="140"/>
      <c s="140"/>
      <c s="16"/>
      <c s="87">
        <f>IF($Z$1&lt;&gt;"",IF(H45&lt;&gt;"",TEXT(VLOOKUP(4,$CG$110:$DI$300,29,FALSE)/1000000,"$#,##0.0")&amp;"MM",""),"")</f>
      </c>
      <c s="140"/>
      <c s="140"/>
      <c s="17"/>
      <c s="87">
        <f>IF($Z$1&lt;&gt;"",IF(L45&lt;&gt;"",TEXT(VLOOKUP(4,$CI$110:$DI$300,27,FALSE)/1000000,"$#,##0.0")&amp;"MM",""),"")</f>
      </c>
      <c s="140"/>
      <c s="140"/>
      <c s="17"/>
      <c s="87" t="str">
        <f>IF($Z$1&lt;&gt;"",IF(P45&lt;&gt;"",TEXT(VLOOKUP(4,$CK$110:$DI$300,25,FALSE)/1000000,"$#,##0.0")&amp;"MM",""),"")</f>
        <v>$7.6MM</v>
      </c>
      <c s="140"/>
      <c s="140"/>
      <c s="61"/>
      <c s="87" t="str">
        <f>IF($Z$1&lt;&gt;"",IF(T45&lt;&gt;"",TEXT(VLOOKUP(4,$CO$110:$DJ$300,22,FALSE)/1000000,"$#,##0.0")&amp;"MM",""),"")</f>
        <v>$36.9MM</v>
      </c>
      <c s="140"/>
      <c s="140"/>
      <c s="16"/>
      <c s="87">
        <f>IF($Z$1&lt;&gt;"",IF(X45&lt;&gt;"",TEXT(VLOOKUP(4,$CQ$110:$DJ$300,20,FALSE)/1000000,"$#,##0.0")&amp;"MM",""),"")</f>
      </c>
      <c s="140"/>
      <c s="140"/>
      <c s="18"/>
      <c s="87">
        <f>IF($Z$1&lt;&gt;"",IF(AB45&lt;&gt;"",TEXT(VLOOKUP(4,$CS$110:$DJ$300,18,FALSE)/1000000,"$#,##0.0")&amp;"MM",""),"")</f>
      </c>
      <c s="140"/>
      <c s="140"/>
      <c s="18"/>
      <c s="87" t="str">
        <f>IF($Z$1&lt;&gt;"",IF(AF45&lt;&gt;"",TEXT(VLOOKUP(4,$CU$110:$DJ$300,16,FALSE)/1000000,"$#,##0.0")&amp;"MM",""),"")</f>
        <v>$32.8MM</v>
      </c>
      <c s="140"/>
      <c s="140"/>
      <c s="50"/>
      <c s="42"/>
      <c r="CA4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row>
    <row r="48" spans="1:138" s="43" customFormat="1" ht="11.25" customHeight="1">
      <c r="A48" s="40"/>
      <c s="41"/>
      <c s="40"/>
      <c s="88" t="str">
        <f>IF(ISERROR(VLOOKUP(5,$CE$113:$DM$300,33,FALSE))=FALSE,TEXT(VLOOKUP(5,$CE$113:$DM$300,33,FALSE)/$DI$112,"0.0%"),"")</f>
        <v>0.7%</v>
      </c>
      <c s="140" t="str">
        <f>IF(ISERROR(VLOOKUP(5,$CE$113:$CV$300,18,FALSE))=FALSE,VLOOKUP(5,$CE$113:$CV$300,18,FALSE),"")</f>
        <v>Safeway</v>
      </c>
      <c s="140"/>
      <c s="16"/>
      <c s="88">
        <f>IF(ISERROR(VLOOKUP(5,$CG$113:$DM$300,31,FALSE))=FALSE,TEXT(VLOOKUP(5,$CG$113:$DM$300,31,FALSE)/$DI$112,"0.0%"),"")</f>
      </c>
      <c s="140">
        <f>IF(ISERROR(VLOOKUP(5,$CG$113:$CV$300,16,FALSE))=FALSE,VLOOKUP(5,$CG$113:$CV$300,16,FALSE),"")</f>
      </c>
      <c s="140"/>
      <c s="17"/>
      <c s="88">
        <f>IF(ISERROR(VLOOKUP(5,$CI$113:$DM$300,29,FALSE))=FALSE,TEXT(VLOOKUP(5,$CI$113:$DM$300,29,FALSE)/$DI$112,"0.0%"),"")</f>
      </c>
      <c s="140">
        <f>IF(ISERROR(VLOOKUP(5,$CI$113:$CV$300,14,FALSE))=FALSE,VLOOKUP(5,$CI$113:$CV$300,14,FALSE),"")</f>
      </c>
      <c s="140"/>
      <c s="17"/>
      <c s="88" t="str">
        <f>IF(ISERROR(VLOOKUP(5,$CK$113:$DM$300,27,FALSE))=FALSE,TEXT(VLOOKUP(5,$CK$113:$DM$300,27,FALSE)/$DI$112,"0.0%"),"")</f>
        <v>0.8%</v>
      </c>
      <c s="140" t="str">
        <f>IF(ISERROR(VLOOKUP(5,$CK$113:$CV$300,12,FALSE))=FALSE,VLOOKUP(5,$CK$113:$CV$300,12,FALSE),"")</f>
        <v>Rite Aid</v>
      </c>
      <c s="140"/>
      <c s="61"/>
      <c s="88" t="str">
        <f>IF(ISERROR(VLOOKUP(5,$CO$113:$DJ$300,22,FALSE))=FALSE,TEXT(VLOOKUP(5,$CO$113:$DJ$300,22,FALSE)/$DJ$112,"0.0%"),"")</f>
        <v>1.6%</v>
      </c>
      <c s="140" t="str">
        <f>IF(ISERROR(VLOOKUP(5,$CO$113:$CV$300,8,FALSE))=FALSE,VLOOKUP(5,$CO$113:$CV$300,8,FALSE),"")</f>
        <v>HEB</v>
      </c>
      <c s="140"/>
      <c s="16"/>
      <c s="88">
        <f>IF(ISERROR(VLOOKUP(5,$CQ$113:$DJ$300,20,FALSE))=FALSE,TEXT(VLOOKUP(5,$CQ$113:$DJ$300,20,FALSE)/$DJ$112,"0.0%"),"")</f>
      </c>
      <c s="140">
        <f>IF(ISERROR(VLOOKUP(5,$CQ$113:$CV$300,6,FALSE))=FALSE,VLOOKUP(5,$CQ$113:$CV$300,6,FALSE),"")</f>
      </c>
      <c s="140"/>
      <c s="18"/>
      <c s="88">
        <f>IF(ISERROR(VLOOKUP(5,$CS$113:$DJ$300,18,FALSE))=FALSE,TEXT(VLOOKUP(5,$CS$113:$DJ$300,18,FALSE)/$DJ$112,"0.0%"),"")</f>
      </c>
      <c s="140">
        <f>IF(ISERROR(VLOOKUP(5,$CS$113:$CV$300,4,FALSE))=FALSE,VLOOKUP(5,$CS$113:$CV$300,4,FALSE),"")</f>
      </c>
      <c s="140"/>
      <c s="18"/>
      <c s="88" t="str">
        <f>IF(ISERROR(VLOOKUP(5,$CU$113:$DJ$300,16,FALSE))=FALSE,TEXT(VLOOKUP(5,$CU$113:$DJ$300,16,FALSE)/$DJ$112,"0.0%"),"")</f>
        <v>1.4%</v>
      </c>
      <c s="140" t="str">
        <f>IF(ISERROR(VLOOKUP(5,$CU$113:$CV$300,2,FALSE))=FALSE,VLOOKUP(5,$CU$113:$CV$300,2,FALSE),"")</f>
        <v>Dollar Tree</v>
      </c>
      <c s="140"/>
      <c s="50"/>
      <c s="42"/>
      <c r="CA4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49" spans="1:138" s="43" customFormat="1" ht="11.25" customHeight="1">
      <c r="A49" s="40"/>
      <c s="41"/>
      <c s="40"/>
      <c s="86" t="str">
        <f>IF($Z$2&lt;&gt;"",IF(D48&lt;&gt;"",IF(VLOOKUP(5,$CE$113:$DZ$300,48,FALSE)&lt;&gt;"",IF(VLOOKUP(5,$CE$113:$DM$300,33,FALSE)/$DI$112-(VLOOKUP(5,$CE$113:$DM$300,33,FALSE)-VLOOKUP(5,$CE$113:$DZ$300,48,FALSE))/($DI$112-$DX$112)&gt;0,"+","")&amp;TEXT((VLOOKUP(5,$CE$113:$DM$300,33,FALSE)/$DI$112-(VLOOKUP(5,$CE$113:$DM$300,33,FALSE)-VLOOKUP(5,$CE$113:$DZ$300,48,FALSE))/($DI$112-$DX$112))*100,"0.0")&amp;"pts",""),""),"")</f>
        <v>-0.3pts</v>
      </c>
      <c s="140"/>
      <c s="140"/>
      <c s="16"/>
      <c s="86">
        <f>IF($Z$2&lt;&gt;"",IF(H48&lt;&gt;"",IF(VLOOKUP(5,$CG$113:$DZ$300,46,FALSE)&lt;&gt;"",IF(VLOOKUP(5,$CG$113:$DM$300,31,FALSE)/$DI$112-(VLOOKUP(5,$CG$113:$DM$300,31,FALSE)-VLOOKUP(5,$CG$113:$DZ$300,46,FALSE))/($DI$112-$DX$112)&gt;0,"+","")&amp;TEXT((VLOOKUP(5,$CG$113:$DM$300,31,FALSE)/$DI$112-(VLOOKUP(5,$CG$113:$DM$300,31,FALSE)-VLOOKUP(5,$CG$113:$DZ$300,46,FALSE))/($DI$112-$DX$112))*100,"0.0")&amp;"pts",""),""),"")</f>
      </c>
      <c s="140"/>
      <c s="140"/>
      <c s="17"/>
      <c s="86">
        <f>IF($Z$2&lt;&gt;"",IF(L48&lt;&gt;"",IF(VLOOKUP(5,$CI$113:$DZ$300,44,FALSE)&lt;&gt;"",IF(VLOOKUP(5,$CI$113:$DM$300,29,FALSE)/$DI$112-(VLOOKUP(5,$CI$113:$DM$300,29,FALSE)-VLOOKUP(5,$CI$113:$DZ$300,44,FALSE))/($DI$112-$DX$112)&gt;0,"+","")&amp;TEXT((VLOOKUP(5,$CI$113:$DM$300,29,FALSE)/$DI$112-(VLOOKUP(5,$CI$113:$DM$300,29,FALSE)-VLOOKUP(5,$CI$113:$DZ$300,44,FALSE))/($DI$112-$DX$112))*100,"0.0")&amp;"pts",""),""),"")</f>
      </c>
      <c s="140"/>
      <c s="140"/>
      <c s="17"/>
      <c s="86" t="str">
        <f>IF($Z$2&lt;&gt;"",IF(P48&lt;&gt;"",IF(VLOOKUP(5,$CK$113:$DZ$300,42,FALSE)&lt;&gt;"",IF(VLOOKUP(5,$CK$113:$DM$300,27,FALSE)/$DI$112-(VLOOKUP(5,$CK$113:$DM$300,27,FALSE)-VLOOKUP(5,$CK$113:$DZ$300,42,FALSE))/($DI$112-$DX$112)&gt;0,"+","")&amp;TEXT((VLOOKUP(5,$CK$113:$DM$300,27,FALSE)/$DI$112-(VLOOKUP(5,$CK$113:$DM$300,27,FALSE)-VLOOKUP(5,$CK$113:$DZ$300,42,FALSE))/($DI$112-$DX$112))*100,"0.0")&amp;"pts",""),""),"")</f>
        <v>0.0pts</v>
      </c>
      <c s="140"/>
      <c s="140"/>
      <c s="61"/>
      <c s="86" t="str">
        <f>IF($Z$2&lt;&gt;"",IF(T48&lt;&gt;"",IF(VLOOKUP(5,$CO$113:$DZ$300,37,FALSE)&lt;&gt;"",IF(VLOOKUP(5,$CO$113:$DJ$300,22,FALSE)/$DJ$112-(VLOOKUP(5,$CO$113:$DJ$300,22,FALSE)-VLOOKUP(5,$CO$113:$DZ$300,37,FALSE))/($DJ$112-$DY$112)&gt;0,"+","")&amp;TEXT((VLOOKUP(5,$CO$113:$DJ$300,22,FALSE)/$DJ$112-(VLOOKUP(5,$CO$113:$DJ$300,22,FALSE)-VLOOKUP(5,$CO$113:$DZ$300,37,FALSE))/($DJ$112-$DY$112))*100,"0.0")&amp;"pts",""),""),"")</f>
        <v>+0.4pts</v>
      </c>
      <c s="140"/>
      <c s="140"/>
      <c s="16"/>
      <c s="86">
        <f>IF($Z$2&lt;&gt;"",IF(X48&lt;&gt;"",IF(VLOOKUP(5,$CQ$113:$DZ$300,35,FALSE)&lt;&gt;"",IF(VLOOKUP(5,$CQ$113:$DJ$300,20,FALSE)/$DJ$112-(VLOOKUP(5,$CQ$113:$DJ$300,20,FALSE)-VLOOKUP(5,$CQ$113:$DZ$300,35,FALSE))/($DJ$112-$DY$112)&gt;0,"+","")&amp;TEXT((VLOOKUP(5,$CQ$113:$DJ$300,20,FALSE)/$DJ$112-(VLOOKUP(5,$CQ$113:$DJ$300,20,FALSE)-VLOOKUP(5,$CQ$113:$DZ$300,35,FALSE))/($DJ$112-$DY$112))*100,"0.0")&amp;"pts",""),""),"")</f>
      </c>
      <c s="140"/>
      <c s="140"/>
      <c s="18"/>
      <c s="86">
        <f>IF($Z$2&lt;&gt;"",IF(AB48&lt;&gt;"",IF(VLOOKUP(5,$CS$113:$DZ$300,33,FALSE)&lt;&gt;"",IF(VLOOKUP(5,$CS$113:$DJ$300,18,FALSE)/$DJ$112-(VLOOKUP(5,$CS$113:$DJ$300,18,FALSE)-VLOOKUP(5,$CS$113:$DZ$300,33,FALSE))/($DJ$112-$DY$112)&gt;0,"+","")&amp;TEXT((VLOOKUP(5,$CS$113:$DJ$300,18,FALSE)/$DJ$112-(VLOOKUP(5,$CS$113:$DJ$300,18,FALSE)-VLOOKUP(5,$CS$113:$DZ$300,33,FALSE))/($DJ$112-$DY$112))*100,"0.0")&amp;"pts",""),""),"")</f>
      </c>
      <c s="140"/>
      <c s="140"/>
      <c s="18"/>
      <c s="86" t="str">
        <f>IF($Z$2&lt;&gt;"",IF(AF48&lt;&gt;"",IF(VLOOKUP(5,$CU$113:$DZ$300,31,FALSE)&lt;&gt;"",IF(VLOOKUP(5,$CU$113:$DJ$300,16,FALSE)/$DJ$112-(VLOOKUP(5,$CU$113:$DJ$300,16,FALSE)-VLOOKUP(5,$CU$113:$DZ$300,31,FALSE))/($DJ$112-$DY$112)&gt;0,"+","")&amp;TEXT((VLOOKUP(5,$CU$113:$DJ$300,16,FALSE)/$DJ$112-(VLOOKUP(5,$CU$113:$DJ$300,16,FALSE)-VLOOKUP(5,$CU$113:$DZ$300,31,FALSE))/($DJ$112-$DY$112))*100,"0.0")&amp;"pts",""),""),"")</f>
        <v>-0.1pts</v>
      </c>
      <c s="140"/>
      <c s="140"/>
      <c s="50"/>
      <c s="42"/>
      <c r="CA4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50" spans="1:138" s="43" customFormat="1" ht="11.25" customHeight="1">
      <c r="A50" s="40"/>
      <c s="41"/>
      <c s="40"/>
      <c s="87" t="str">
        <f>IF($Z$1&lt;&gt;"",IF(D48&lt;&gt;"",TEXT(VLOOKUP(5,$CE$110:$DI$300,31,FALSE)/1000000,"$#,##0.0")&amp;"MM",""),"")</f>
        <v>$5.6MM</v>
      </c>
      <c s="140"/>
      <c s="140"/>
      <c s="16"/>
      <c s="87">
        <f>IF($Z$1&lt;&gt;"",IF(H48&lt;&gt;"",TEXT(VLOOKUP(5,$CG$110:$DI$300,29,FALSE)/1000000,"$#,##0.0")&amp;"MM",""),"")</f>
      </c>
      <c s="140"/>
      <c s="140"/>
      <c s="17"/>
      <c s="87">
        <f>IF($Z$1&lt;&gt;"",IF(L48&lt;&gt;"",TEXT(VLOOKUP(5,$CI$110:$DI$300,27,FALSE)/1000000,"$#,##0.0")&amp;"MM",""),"")</f>
      </c>
      <c s="140"/>
      <c s="140"/>
      <c s="17"/>
      <c s="87" t="str">
        <f>IF($Z$1&lt;&gt;"",IF(P48&lt;&gt;"",TEXT(VLOOKUP(5,$CK$110:$DI$300,25,FALSE)/1000000,"$#,##0.0")&amp;"MM",""),"")</f>
        <v>$6.2MM</v>
      </c>
      <c s="140"/>
      <c s="140"/>
      <c s="61"/>
      <c s="87" t="str">
        <f>IF($Z$1&lt;&gt;"",IF(T48&lt;&gt;"",TEXT(VLOOKUP(5,$CO$110:$DJ$300,22,FALSE)/1000000,"$#,##0.0")&amp;"MM",""),"")</f>
        <v>$29.6MM</v>
      </c>
      <c s="140"/>
      <c s="140"/>
      <c s="16"/>
      <c s="87">
        <f>IF($Z$1&lt;&gt;"",IF(X48&lt;&gt;"",TEXT(VLOOKUP(5,$CQ$110:$DJ$300,20,FALSE)/1000000,"$#,##0.0")&amp;"MM",""),"")</f>
      </c>
      <c s="140"/>
      <c s="140"/>
      <c s="18"/>
      <c s="87">
        <f>IF($Z$1&lt;&gt;"",IF(AB48&lt;&gt;"",TEXT(VLOOKUP(5,$CS$110:$DJ$300,18,FALSE)/1000000,"$#,##0.0")&amp;"MM",""),"")</f>
      </c>
      <c s="140"/>
      <c s="140"/>
      <c s="18"/>
      <c s="87" t="str">
        <f>IF($Z$1&lt;&gt;"",IF(AF48&lt;&gt;"",TEXT(VLOOKUP(5,$CU$110:$DJ$300,16,FALSE)/1000000,"$#,##0.0")&amp;"MM",""),"")</f>
        <v>$26.0MM</v>
      </c>
      <c s="140"/>
      <c s="140"/>
      <c s="50"/>
      <c s="42"/>
      <c r="CA5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row>
    <row r="51" spans="1:138" s="43" customFormat="1" ht="11.25" customHeight="1">
      <c r="A51" s="40"/>
      <c s="41"/>
      <c s="40"/>
      <c s="88" t="str">
        <f>IF(ISERROR(VLOOKUP(6,$CE$113:$DM$300,33,FALSE))=FALSE,TEXT(VLOOKUP(6,$CE$113:$DM$300,33,FALSE)/$DI$112,"0.0%"),"")</f>
        <v>0.7%</v>
      </c>
      <c s="140" t="str">
        <f>IF(ISERROR(VLOOKUP(6,$CE$113:$CV$300,18,FALSE))=FALSE,VLOOKUP(6,$CE$113:$CV$300,18,FALSE),"")</f>
        <v>HEB</v>
      </c>
      <c s="140"/>
      <c s="16"/>
      <c s="88">
        <f>IF(ISERROR(VLOOKUP(6,$CG$113:$DM$300,31,FALSE))=FALSE,TEXT(VLOOKUP(6,$CG$113:$DM$300,31,FALSE)/$DI$112,"0.0%"),"")</f>
      </c>
      <c s="140">
        <f>IF(ISERROR(VLOOKUP(6,$CG$113:$CV$300,16,FALSE))=FALSE,VLOOKUP(6,$CG$113:$CV$300,16,FALSE),"")</f>
      </c>
      <c s="140"/>
      <c s="17"/>
      <c s="88">
        <f>IF(ISERROR(VLOOKUP(6,$CI$113:$DM$300,29,FALSE))=FALSE,TEXT(VLOOKUP(6,$CI$113:$DM$300,29,FALSE)/$DI$112,"0.0%"),"")</f>
      </c>
      <c s="140">
        <f>IF(ISERROR(VLOOKUP(6,$CI$113:$CV$300,14,FALSE))=FALSE,VLOOKUP(6,$CI$113:$CV$300,14,FALSE),"")</f>
      </c>
      <c s="140"/>
      <c s="17"/>
      <c s="88" t="str">
        <f>IF(ISERROR(VLOOKUP(6,$CK$113:$DM$300,27,FALSE))=FALSE,TEXT(VLOOKUP(6,$CK$113:$DM$300,27,FALSE)/$DI$112,"0.0%"),"")</f>
        <v>0.8%</v>
      </c>
      <c s="140" t="str">
        <f>IF(ISERROR(VLOOKUP(6,$CK$113:$CV$300,12,FALSE))=FALSE,VLOOKUP(6,$CK$113:$CV$300,12,FALSE),"")</f>
        <v>Big Lots</v>
      </c>
      <c s="140"/>
      <c s="61"/>
      <c s="88" t="str">
        <f>IF(ISERROR(VLOOKUP(6,$CO$113:$DJ$300,22,FALSE))=FALSE,TEXT(VLOOKUP(6,$CO$113:$DJ$300,22,FALSE)/$DJ$112,"0.0%"),"")</f>
        <v>1.1%</v>
      </c>
      <c s="140" t="str">
        <f>IF(ISERROR(VLOOKUP(6,$CO$113:$CV$300,8,FALSE))=FALSE,VLOOKUP(6,$CO$113:$CV$300,8,FALSE),"")</f>
        <v>Stop &amp; Shop</v>
      </c>
      <c s="140"/>
      <c s="16"/>
      <c s="88">
        <f>IF(ISERROR(VLOOKUP(6,$CQ$113:$DJ$300,20,FALSE))=FALSE,TEXT(VLOOKUP(6,$CQ$113:$DJ$300,20,FALSE)/$DJ$112,"0.0%"),"")</f>
      </c>
      <c s="140">
        <f>IF(ISERROR(VLOOKUP(6,$CQ$113:$CV$300,6,FALSE))=FALSE,VLOOKUP(6,$CQ$113:$CV$300,6,FALSE),"")</f>
      </c>
      <c s="140"/>
      <c s="18"/>
      <c s="88">
        <f>IF(ISERROR(VLOOKUP(6,$CS$113:$DJ$300,18,FALSE))=FALSE,TEXT(VLOOKUP(6,$CS$113:$DJ$300,18,FALSE)/$DJ$112,"0.0%"),"")</f>
      </c>
      <c s="140">
        <f>IF(ISERROR(VLOOKUP(6,$CS$113:$CV$300,4,FALSE))=FALSE,VLOOKUP(6,$CS$113:$CV$300,4,FALSE),"")</f>
      </c>
      <c s="140"/>
      <c s="18"/>
      <c s="88" t="str">
        <f>IF(ISERROR(VLOOKUP(6,$CU$113:$DJ$300,16,FALSE))=FALSE,TEXT(VLOOKUP(6,$CU$113:$DJ$300,16,FALSE)/$DJ$112,"0.0%"),"")</f>
        <v>1.3%</v>
      </c>
      <c s="140" t="str">
        <f>IF(ISERROR(VLOOKUP(6,$CU$113:$CV$300,2,FALSE))=FALSE,VLOOKUP(6,$CU$113:$CV$300,2,FALSE),"")</f>
        <v>DeCA Commissary</v>
      </c>
      <c s="140"/>
      <c s="50"/>
      <c s="42"/>
      <c r="CA5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52" spans="1:138" s="43" customFormat="1" ht="11.25" customHeight="1">
      <c r="A52" s="40"/>
      <c s="41"/>
      <c s="40"/>
      <c s="86" t="str">
        <f>IF($Z$2&lt;&gt;"",IF(D51&lt;&gt;"",IF(VLOOKUP(6,$CE$113:$DZ$300,48,FALSE)&lt;&gt;"",IF(VLOOKUP(6,$CE$113:$DM$300,33,FALSE)/$DI$112-(VLOOKUP(6,$CE$113:$DM$300,33,FALSE)-VLOOKUP(6,$CE$113:$DZ$300,48,FALSE))/($DI$112-$DX$112)&gt;0,"+","")&amp;TEXT((VLOOKUP(6,$CE$113:$DM$300,33,FALSE)/$DI$112-(VLOOKUP(6,$CE$113:$DM$300,33,FALSE)-VLOOKUP(6,$CE$113:$DZ$300,48,FALSE))/($DI$112-$DX$112))*100,"0.0")&amp;"pts",""),""),"")</f>
        <v>-0.3pts</v>
      </c>
      <c s="140"/>
      <c s="140"/>
      <c s="16"/>
      <c s="86">
        <f>IF($Z$2&lt;&gt;"",IF(H51&lt;&gt;"",IF(VLOOKUP(6,$CG$113:$DZ$300,46,FALSE)&lt;&gt;"",IF(VLOOKUP(6,$CG$113:$DM$300,31,FALSE)/$DI$112-(VLOOKUP(6,$CG$113:$DM$300,31,FALSE)-VLOOKUP(6,$CG$113:$DZ$300,46,FALSE))/($DI$112-$DX$112)&gt;0,"+","")&amp;TEXT((VLOOKUP(6,$CG$113:$DM$300,31,FALSE)/$DI$112-(VLOOKUP(6,$CG$113:$DM$300,31,FALSE)-VLOOKUP(6,$CG$113:$DZ$300,46,FALSE))/($DI$112-$DX$112))*100,"0.0")&amp;"pts",""),""),"")</f>
      </c>
      <c s="140"/>
      <c s="140"/>
      <c s="17"/>
      <c s="86">
        <f>IF($Z$2&lt;&gt;"",IF(L51&lt;&gt;"",IF(VLOOKUP(6,$CI$113:$DZ$300,44,FALSE)&lt;&gt;"",IF(VLOOKUP(6,$CI$113:$DM$300,29,FALSE)/$DI$112-(VLOOKUP(6,$CI$113:$DM$300,29,FALSE)-VLOOKUP(6,$CI$113:$DZ$300,44,FALSE))/($DI$112-$DX$112)&gt;0,"+","")&amp;TEXT((VLOOKUP(6,$CI$113:$DM$300,29,FALSE)/$DI$112-(VLOOKUP(6,$CI$113:$DM$300,29,FALSE)-VLOOKUP(6,$CI$113:$DZ$300,44,FALSE))/($DI$112-$DX$112))*100,"0.0")&amp;"pts",""),""),"")</f>
      </c>
      <c s="140"/>
      <c s="140"/>
      <c s="17"/>
      <c s="86" t="str">
        <f>IF($Z$2&lt;&gt;"",IF(P51&lt;&gt;"",IF(VLOOKUP(6,$CK$113:$DZ$300,42,FALSE)&lt;&gt;"",IF(VLOOKUP(6,$CK$113:$DM$300,27,FALSE)/$DI$112-(VLOOKUP(6,$CK$113:$DM$300,27,FALSE)-VLOOKUP(6,$CK$113:$DZ$300,42,FALSE))/($DI$112-$DX$112)&gt;0,"+","")&amp;TEXT((VLOOKUP(6,$CK$113:$DM$300,27,FALSE)/$DI$112-(VLOOKUP(6,$CK$113:$DM$300,27,FALSE)-VLOOKUP(6,$CK$113:$DZ$300,42,FALSE))/($DI$112-$DX$112))*100,"0.0")&amp;"pts",""),""),"")</f>
        <v>+0.1pts</v>
      </c>
      <c s="140"/>
      <c s="140"/>
      <c s="61"/>
      <c s="86" t="str">
        <f>IF($Z$2&lt;&gt;"",IF(T51&lt;&gt;"",IF(VLOOKUP(6,$CO$113:$DZ$300,37,FALSE)&lt;&gt;"",IF(VLOOKUP(6,$CO$113:$DJ$300,22,FALSE)/$DJ$112-(VLOOKUP(6,$CO$113:$DJ$300,22,FALSE)-VLOOKUP(6,$CO$113:$DZ$300,37,FALSE))/($DJ$112-$DY$112)&gt;0,"+","")&amp;TEXT((VLOOKUP(6,$CO$113:$DJ$300,22,FALSE)/$DJ$112-(VLOOKUP(6,$CO$113:$DJ$300,22,FALSE)-VLOOKUP(6,$CO$113:$DZ$300,37,FALSE))/($DJ$112-$DY$112))*100,"0.0")&amp;"pts",""),""),"")</f>
        <v>-0.2pts</v>
      </c>
      <c s="140"/>
      <c s="140"/>
      <c s="16"/>
      <c s="86">
        <f>IF($Z$2&lt;&gt;"",IF(X51&lt;&gt;"",IF(VLOOKUP(6,$CQ$113:$DZ$300,35,FALSE)&lt;&gt;"",IF(VLOOKUP(6,$CQ$113:$DJ$300,20,FALSE)/$DJ$112-(VLOOKUP(6,$CQ$113:$DJ$300,20,FALSE)-VLOOKUP(6,$CQ$113:$DZ$300,35,FALSE))/($DJ$112-$DY$112)&gt;0,"+","")&amp;TEXT((VLOOKUP(6,$CQ$113:$DJ$300,20,FALSE)/$DJ$112-(VLOOKUP(6,$CQ$113:$DJ$300,20,FALSE)-VLOOKUP(6,$CQ$113:$DZ$300,35,FALSE))/($DJ$112-$DY$112))*100,"0.0")&amp;"pts",""),""),"")</f>
      </c>
      <c s="140"/>
      <c s="140"/>
      <c s="18"/>
      <c s="86">
        <f>IF($Z$2&lt;&gt;"",IF(AB51&lt;&gt;"",IF(VLOOKUP(6,$CS$113:$DZ$300,33,FALSE)&lt;&gt;"",IF(VLOOKUP(6,$CS$113:$DJ$300,18,FALSE)/$DJ$112-(VLOOKUP(6,$CS$113:$DJ$300,18,FALSE)-VLOOKUP(6,$CS$113:$DZ$300,33,FALSE))/($DJ$112-$DY$112)&gt;0,"+","")&amp;TEXT((VLOOKUP(6,$CS$113:$DJ$300,18,FALSE)/$DJ$112-(VLOOKUP(6,$CS$113:$DJ$300,18,FALSE)-VLOOKUP(6,$CS$113:$DZ$300,33,FALSE))/($DJ$112-$DY$112))*100,"0.0")&amp;"pts",""),""),"")</f>
      </c>
      <c s="140"/>
      <c s="140"/>
      <c s="18"/>
      <c s="86" t="str">
        <f>IF($Z$2&lt;&gt;"",IF(AF51&lt;&gt;"",IF(VLOOKUP(6,$CU$113:$DZ$300,31,FALSE)&lt;&gt;"",IF(VLOOKUP(6,$CU$113:$DJ$300,16,FALSE)/$DJ$112-(VLOOKUP(6,$CU$113:$DJ$300,16,FALSE)-VLOOKUP(6,$CU$113:$DZ$300,31,FALSE))/($DJ$112-$DY$112)&gt;0,"+","")&amp;TEXT((VLOOKUP(6,$CU$113:$DJ$300,16,FALSE)/$DJ$112-(VLOOKUP(6,$CU$113:$DJ$300,16,FALSE)-VLOOKUP(6,$CU$113:$DZ$300,31,FALSE))/($DJ$112-$DY$112))*100,"0.0")&amp;"pts",""),""),"")</f>
        <v>0.0pts</v>
      </c>
      <c s="140"/>
      <c s="140"/>
      <c s="50"/>
      <c s="42"/>
      <c r="CA5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53" spans="1:138" s="43" customFormat="1" ht="11.25" customHeight="1">
      <c r="A53" s="40"/>
      <c s="41"/>
      <c s="40"/>
      <c s="87" t="str">
        <f>IF($Z$1&lt;&gt;"",IF(D51&lt;&gt;"",TEXT(VLOOKUP(6,$CE$110:$DI$300,31,FALSE)/1000000,"$#,##0.0")&amp;"MM",""),"")</f>
        <v>$5.6MM</v>
      </c>
      <c s="140"/>
      <c s="140"/>
      <c s="16"/>
      <c s="87">
        <f>IF($Z$1&lt;&gt;"",IF(H51&lt;&gt;"",TEXT(VLOOKUP(6,$CG$110:$DI$300,29,FALSE)/1000000,"$#,##0.0")&amp;"MM",""),"")</f>
      </c>
      <c s="140"/>
      <c s="140"/>
      <c s="17"/>
      <c s="87">
        <f>IF($Z$1&lt;&gt;"",IF(L51&lt;&gt;"",TEXT(VLOOKUP(6,$CI$110:$DI$300,27,FALSE)/1000000,"$#,##0.0")&amp;"MM",""),"")</f>
      </c>
      <c s="140"/>
      <c s="140"/>
      <c s="17"/>
      <c s="87" t="str">
        <f>IF($Z$1&lt;&gt;"",IF(P51&lt;&gt;"",TEXT(VLOOKUP(6,$CK$110:$DI$300,25,FALSE)/1000000,"$#,##0.0")&amp;"MM",""),"")</f>
        <v>$6.0MM</v>
      </c>
      <c s="140"/>
      <c s="140"/>
      <c s="61"/>
      <c s="87" t="str">
        <f>IF($Z$1&lt;&gt;"",IF(T51&lt;&gt;"",TEXT(VLOOKUP(6,$CO$110:$DJ$300,22,FALSE)/1000000,"$#,##0.0")&amp;"MM",""),"")</f>
        <v>$19.4MM</v>
      </c>
      <c s="140"/>
      <c s="140"/>
      <c s="16"/>
      <c s="87">
        <f>IF($Z$1&lt;&gt;"",IF(X51&lt;&gt;"",TEXT(VLOOKUP(6,$CQ$110:$DJ$300,20,FALSE)/1000000,"$#,##0.0")&amp;"MM",""),"")</f>
      </c>
      <c s="140"/>
      <c s="140"/>
      <c s="18"/>
      <c s="87">
        <f>IF($Z$1&lt;&gt;"",IF(AB51&lt;&gt;"",TEXT(VLOOKUP(6,$CS$110:$DJ$300,18,FALSE)/1000000,"$#,##0.0")&amp;"MM",""),"")</f>
      </c>
      <c s="140"/>
      <c s="140"/>
      <c s="18"/>
      <c s="87" t="str">
        <f>IF($Z$1&lt;&gt;"",IF(AF51&lt;&gt;"",TEXT(VLOOKUP(6,$CU$110:$DJ$300,16,FALSE)/1000000,"$#,##0.0")&amp;"MM",""),"")</f>
        <v>$23.0MM</v>
      </c>
      <c s="140"/>
      <c s="140"/>
      <c s="50"/>
      <c s="42"/>
      <c r="CA5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row>
    <row r="54" spans="1:138" ht="7.5" customHeight="1">
      <c r="A54" s="21"/>
      <c s="25"/>
      <c s="21"/>
      <c s="21"/>
      <c s="21"/>
      <c s="21"/>
      <c s="21"/>
      <c s="21"/>
      <c s="21"/>
      <c s="21"/>
      <c s="21"/>
      <c s="21"/>
      <c s="21"/>
      <c s="21"/>
      <c s="21"/>
      <c s="21"/>
      <c s="21"/>
      <c s="21"/>
      <c r="AI54" s="50"/>
      <c s="26"/>
      <c r="CA5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55" spans="1:138" ht="1.5" customHeight="1">
      <c r="A55" s="21"/>
      <c s="62"/>
      <c s="63"/>
      <c s="63"/>
      <c s="63"/>
      <c s="63"/>
      <c s="63"/>
      <c s="63"/>
      <c s="63"/>
      <c s="63"/>
      <c s="63"/>
      <c s="63"/>
      <c s="63"/>
      <c s="63"/>
      <c s="63"/>
      <c s="63"/>
      <c s="63"/>
      <c s="63"/>
      <c s="63"/>
      <c s="63"/>
      <c s="63"/>
      <c s="63"/>
      <c s="63"/>
      <c s="63"/>
      <c s="63"/>
      <c s="63"/>
      <c s="63"/>
      <c s="63"/>
      <c s="63"/>
      <c s="63"/>
      <c s="63"/>
      <c s="63"/>
      <c s="63"/>
      <c s="63"/>
      <c s="63"/>
      <c s="64"/>
      <c r="CA5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56" spans="79:138" ht="15">
      <c r="CA5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57" spans="3:138" ht="15">
      <c r="C57" s="205" t="s">
        <v>52</v>
      </c>
      <c s="205"/>
      <c s="205"/>
      <c s="205"/>
      <c s="205"/>
      <c s="205"/>
      <c s="205"/>
      <c s="205"/>
      <c s="205"/>
      <c s="205"/>
      <c s="205"/>
      <c s="205"/>
      <c s="205"/>
      <c s="205"/>
      <c s="205"/>
      <c s="205"/>
      <c s="205"/>
      <c s="205"/>
      <c s="205"/>
      <c s="205"/>
      <c s="205"/>
      <c s="205"/>
      <c s="205"/>
      <c s="205"/>
      <c s="205"/>
      <c s="205"/>
      <c s="205"/>
      <c s="205"/>
      <c s="205"/>
      <c s="205"/>
      <c s="205"/>
      <c s="205"/>
      <c s="205"/>
      <c r="CA5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58" spans="79:138" ht="15">
      <c r="CA5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59" spans="4:138" ht="15">
      <c r="D59" s="79"/>
      <c r="CA5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60" spans="4:138" ht="15">
      <c r="D60" s="78"/>
      <c r="CA6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61" spans="4:138" ht="15">
      <c r="D61" s="78"/>
      <c r="CA6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62" spans="79:138" ht="15">
      <c r="CA6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63" spans="79:138" ht="15">
      <c r="CA6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64" spans="79:138" ht="15">
      <c r="CA6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65" spans="79:138" ht="15">
      <c r="CA6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66" spans="79:138" ht="15">
      <c r="CA6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67" spans="79:138" ht="15">
      <c r="CA6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68" spans="79:138" ht="15">
      <c r="CA6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69" spans="79:138" ht="15">
      <c r="CA6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70" spans="79:138" ht="15">
      <c r="CA7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71" spans="79:138" ht="15">
      <c r="CA7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72" spans="79:138" ht="15">
      <c r="CA7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73" spans="79:138" ht="15">
      <c r="CA7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74" spans="79:138" ht="15">
      <c r="CA7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75" spans="79:138" ht="15">
      <c r="CA7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76" spans="79:138" ht="15">
      <c r="CA7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77" spans="79:138" ht="15">
      <c r="CA7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78" spans="79:138" ht="15">
      <c r="CA7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79" spans="79:138" ht="15">
      <c r="CA7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80" spans="79:138" ht="15">
      <c r="CA8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81" spans="79:138" ht="15">
      <c r="CA8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82" spans="79:138" ht="15">
      <c r="CA8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83" spans="79:138" ht="15">
      <c r="CA8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84" spans="79:138" ht="15">
      <c r="CA8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85" spans="79:138" ht="15">
      <c r="CA8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86" spans="79:138" ht="15">
      <c r="CA8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87" spans="79:138" ht="15">
      <c r="CA8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88" spans="79:138" ht="15">
      <c r="CA8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89" spans="79:138" ht="15">
      <c r="CA8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90" spans="79:138" ht="15">
      <c r="CA9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91" spans="79:138" ht="15">
      <c r="CA9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92" spans="79:138" ht="15">
      <c r="CA9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93" spans="79:138" ht="15">
      <c r="CA9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94" spans="79:138" ht="15">
      <c r="CA9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95" spans="79:138" ht="15">
      <c r="CA9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96" spans="79:138" ht="15">
      <c r="CA9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97" spans="79:138" ht="15">
      <c r="CA9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98" spans="79:138" ht="15">
      <c r="CA9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99" spans="79:138" ht="15">
      <c r="CA9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100" spans="79:138" ht="15">
      <c r="CA10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101" spans="1:138" ht="15">
      <c r="A101" s="20" t="s">
        <v>40</v>
      </c>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20" t="s">
        <v>37</v>
      </c>
      <c s="65"/>
      <c s="65"/>
      <c s="65"/>
      <c s="65"/>
      <c s="65"/>
      <c s="65"/>
      <c s="65"/>
      <c s="65"/>
      <c s="65"/>
      <c s="65"/>
      <c s="65"/>
      <c s="65"/>
      <c s="65"/>
      <c s="65"/>
      <c s="65"/>
      <c s="65"/>
      <c s="65"/>
      <c s="65"/>
      <c s="65"/>
      <c s="65"/>
      <c s="65" t="s">
        <v>48</v>
      </c>
      <c s="65" t="str">
        <f>IF(ISERROR(FIND("NeighMkt",$CX$102))=FALSE,"Y","N")</f>
        <v>N</v>
      </c>
      <c s="66" t="str">
        <f>'[1]Leakage Tree Data'!$A$1</f>
        <v>No_Limit_Leakage_Export</v>
      </c>
      <c s="66"/>
      <c s="66"/>
      <c s="66"/>
      <c s="66"/>
      <c s="66"/>
      <c s="66"/>
      <c s="66"/>
      <c s="66"/>
      <c s="66"/>
      <c s="66"/>
      <c s="66"/>
      <c s="66"/>
      <c s="66"/>
      <c s="66"/>
      <c s="66"/>
      <c s="66"/>
      <c s="66"/>
      <c s="66"/>
      <c s="66"/>
      <c s="66"/>
      <c s="66"/>
      <c s="66"/>
      <c s="66"/>
      <c s="66"/>
      <c s="66"/>
      <c s="66"/>
      <c s="66"/>
      <c s="66"/>
      <c s="66"/>
      <c s="66"/>
      <c s="200" t="s">
        <v>51</v>
      </c>
      <c s="200"/>
      <c s="200"/>
      <c s="200"/>
      <c s="200"/>
      <c s="200"/>
    </row>
    <row r="102" spans="1:138" ht="15">
      <c r="A10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65"/>
      <c s="65"/>
      <c s="65"/>
      <c s="65"/>
      <c s="65"/>
      <c s="65"/>
      <c s="65"/>
      <c s="65"/>
      <c s="65"/>
      <c s="65"/>
      <c s="65"/>
      <c s="65"/>
      <c s="65"/>
      <c s="65"/>
      <c s="65"/>
      <c s="65"/>
      <c s="65"/>
      <c s="65"/>
      <c s="65"/>
      <c s="65"/>
      <c s="65" t="s">
        <v>49</v>
      </c>
      <c s="65">
        <f>IF(ISERROR(IF(CX$111&lt;&gt;0,RIGHT(CX$111,LEN(CX$111)-FIND(" - ",CX$111)-3+1),""))=TRUE,IF(LEFT(CX111,3)="WM ","","Y"),"")</f>
      </c>
      <c s="66" t="str">
        <f>'[1]Leakage Tree Data'!$A$2</f>
        <v>Geography 2 : Total US - Target Corporate</v>
      </c>
      <c s="66"/>
      <c s="66"/>
      <c s="66"/>
      <c s="66"/>
      <c s="66"/>
      <c s="66"/>
      <c s="66"/>
      <c s="66"/>
      <c s="66"/>
      <c s="66"/>
      <c s="66"/>
      <c s="66"/>
      <c s="66"/>
      <c s="66"/>
      <c s="66"/>
      <c s="66"/>
      <c s="66"/>
      <c s="66"/>
      <c s="66"/>
      <c s="66"/>
      <c s="66"/>
      <c s="66"/>
      <c s="66"/>
      <c s="66"/>
      <c s="66"/>
      <c s="66"/>
      <c s="66"/>
      <c s="66"/>
      <c s="66"/>
      <c s="66"/>
      <c s="65"/>
      <c s="65"/>
      <c s="65"/>
      <c s="65"/>
      <c s="65"/>
      <c s="65"/>
    </row>
    <row r="103" spans="1:138" ht="15">
      <c r="A10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65"/>
      <c s="65"/>
      <c s="65"/>
      <c s="65"/>
      <c s="65"/>
      <c s="65"/>
      <c s="65"/>
      <c s="65"/>
      <c s="65"/>
      <c s="65"/>
      <c s="65"/>
      <c s="65"/>
      <c s="65"/>
      <c s="65"/>
      <c s="65"/>
      <c s="65"/>
      <c s="65"/>
      <c s="65"/>
      <c s="65"/>
      <c s="65"/>
      <c s="65"/>
      <c s="65"/>
      <c s="66" t="str">
        <f>'[1]Leakage Tree Data'!$A$3</f>
        <v>Time : Latest 52 Weeks Ending Jan-24-2016</v>
      </c>
      <c s="66"/>
      <c s="66"/>
      <c s="66"/>
      <c s="66"/>
      <c s="66"/>
      <c s="66"/>
      <c s="66"/>
      <c s="66"/>
      <c s="66"/>
      <c s="66"/>
      <c s="66"/>
      <c s="66"/>
      <c s="66"/>
      <c s="66"/>
      <c s="66"/>
      <c s="66"/>
      <c s="66"/>
      <c s="66"/>
      <c s="66"/>
      <c s="66"/>
      <c s="66"/>
      <c s="66"/>
      <c s="66"/>
      <c s="66"/>
      <c s="66"/>
      <c s="66"/>
      <c s="66"/>
      <c s="66"/>
      <c s="66"/>
      <c s="66"/>
      <c s="65"/>
      <c s="65"/>
      <c s="65"/>
      <c s="65"/>
      <c s="65"/>
      <c s="65"/>
    </row>
    <row r="104" spans="1:138" ht="15">
      <c r="A10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65"/>
      <c s="65"/>
      <c s="65"/>
      <c s="65"/>
      <c s="65"/>
      <c s="65"/>
      <c s="65"/>
      <c s="65"/>
      <c s="65"/>
      <c s="65"/>
      <c s="65"/>
      <c s="65"/>
      <c s="65"/>
      <c s="65"/>
      <c s="65"/>
      <c s="65"/>
      <c s="65"/>
      <c s="65"/>
      <c s="65"/>
      <c s="65"/>
      <c s="65"/>
      <c s="65"/>
      <c s="66" t="str">
        <f>'[1]Leakage Tree Data'!$A$4</f>
        <v>Product : AISLE-LAUNDRY</v>
      </c>
      <c s="66"/>
      <c s="66"/>
      <c s="66"/>
      <c s="66"/>
      <c s="66"/>
      <c s="66"/>
      <c s="66"/>
      <c s="66"/>
      <c s="66"/>
      <c s="66"/>
      <c s="66"/>
      <c s="66"/>
      <c s="66"/>
      <c s="66"/>
      <c s="66"/>
      <c s="66"/>
      <c s="66"/>
      <c s="66"/>
      <c s="66"/>
      <c s="66"/>
      <c s="66"/>
      <c s="66"/>
      <c s="66"/>
      <c s="66"/>
      <c s="66"/>
      <c s="66"/>
      <c s="66"/>
      <c s="66"/>
      <c s="66"/>
      <c s="66"/>
      <c s="65"/>
      <c s="65"/>
      <c s="65"/>
      <c s="65"/>
      <c s="65"/>
      <c s="65"/>
    </row>
    <row r="105" spans="1:141" ht="15">
      <c r="A10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7"/>
      <c s="67"/>
      <c s="67"/>
      <c s="67"/>
      <c s="67"/>
      <c s="67"/>
      <c s="67"/>
      <c s="67"/>
      <c s="67"/>
      <c s="75"/>
      <c s="67"/>
      <c s="67"/>
      <c s="67"/>
      <c s="67"/>
      <c s="67"/>
      <c s="67"/>
      <c s="67"/>
      <c s="67"/>
      <c s="67"/>
      <c s="67"/>
      <c s="67"/>
      <c s="67"/>
      <c s="67"/>
      <c s="66"/>
      <c s="66"/>
      <c s="66"/>
      <c s="66"/>
      <c s="66"/>
      <c s="66"/>
      <c s="66"/>
      <c s="66"/>
      <c s="66"/>
      <c s="66"/>
      <c s="66"/>
      <c s="66"/>
      <c s="66"/>
      <c s="66"/>
      <c s="66"/>
      <c s="66"/>
      <c s="66"/>
      <c s="66"/>
      <c s="66"/>
      <c s="66"/>
      <c s="66"/>
      <c s="66"/>
      <c s="66"/>
      <c s="66"/>
      <c s="66"/>
      <c s="66"/>
      <c s="66"/>
      <c s="66"/>
      <c s="66"/>
      <c s="66"/>
      <c s="66"/>
      <c s="67"/>
      <c s="67"/>
      <c s="67"/>
      <c s="67"/>
      <c s="68"/>
      <c s="68"/>
      <c s="69"/>
      <c s="69"/>
      <c s="69"/>
    </row>
    <row r="106" spans="1:141" s="37" customFormat="1" ht="15">
      <c r="A10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7"/>
      <c s="67"/>
      <c s="67"/>
      <c s="67"/>
      <c s="67"/>
      <c s="67"/>
      <c s="67"/>
      <c s="67"/>
      <c s="67"/>
      <c s="67"/>
      <c s="67"/>
      <c s="67"/>
      <c s="67"/>
      <c s="67"/>
      <c s="67"/>
      <c s="67"/>
      <c s="67"/>
      <c s="67"/>
      <c s="67"/>
      <c s="67"/>
      <c s="67"/>
      <c s="67"/>
      <c s="67"/>
      <c s="66" t="str">
        <f>'[1]Leakage Tree Data'!$A$5</f>
        <v>HH Demo Summary : All HH Income Per Capita</v>
      </c>
      <c s="66"/>
      <c s="66"/>
      <c s="66"/>
      <c s="66"/>
      <c s="66"/>
      <c s="66"/>
      <c s="66"/>
      <c s="66"/>
      <c s="66"/>
      <c s="66"/>
      <c s="66"/>
      <c s="66"/>
      <c s="66"/>
      <c s="66"/>
      <c s="66"/>
      <c s="66"/>
      <c s="66"/>
      <c s="66"/>
      <c s="66"/>
      <c s="66"/>
      <c s="66"/>
      <c s="66"/>
      <c s="66"/>
      <c s="66"/>
      <c s="66"/>
      <c s="66"/>
      <c s="66"/>
      <c s="66"/>
      <c s="66"/>
      <c s="66"/>
      <c s="67"/>
      <c s="67"/>
      <c s="67"/>
      <c s="67"/>
      <c s="68"/>
      <c s="68"/>
      <c s="69"/>
      <c s="69"/>
      <c s="69"/>
    </row>
    <row r="107" spans="1:141" s="37" customFormat="1" ht="15">
      <c r="A10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7"/>
      <c s="67" t="s">
        <v>44</v>
      </c>
      <c s="67"/>
      <c s="67"/>
      <c s="67"/>
      <c s="67"/>
      <c s="67"/>
      <c s="67"/>
      <c s="67"/>
      <c s="67"/>
      <c s="67"/>
      <c s="67"/>
      <c s="67">
        <f>IF(ISERROR(VLOOKUP(CV113,$AL$8:$AL$14,1,FALSE))=TRUE,IF(CB113&lt;&gt;"",IF(CB113&gt;0,IF(Z$4&lt;&gt;"",MIN(4,RANK(CB113,$CB$111:$CB$300)),RANK(CB113,$CB$111:$CB$300)),""),""),"")</f>
        <v>2</v>
      </c>
      <c s="67"/>
      <c s="67"/>
      <c s="67"/>
      <c s="67"/>
      <c s="67"/>
      <c s="67"/>
      <c s="67"/>
      <c s="67"/>
      <c s="85"/>
      <c s="67"/>
      <c s="66" t="str">
        <f>'[1]Leakage Tree Data'!$A$6</f>
        <v>Trip Mission : All Trip Missions</v>
      </c>
      <c s="66"/>
      <c s="66"/>
      <c s="66"/>
      <c s="66"/>
      <c s="66"/>
      <c s="66"/>
      <c s="66"/>
      <c s="66"/>
      <c s="66"/>
      <c s="66"/>
      <c s="66"/>
      <c s="66"/>
      <c s="66"/>
      <c s="66"/>
      <c s="66"/>
      <c s="66"/>
      <c s="66"/>
      <c s="66"/>
      <c s="66"/>
      <c s="66"/>
      <c s="66"/>
      <c s="66"/>
      <c s="66"/>
      <c s="66"/>
      <c s="66"/>
      <c s="66"/>
      <c s="66"/>
      <c s="66"/>
      <c s="66"/>
      <c s="66"/>
      <c s="67"/>
      <c s="67"/>
      <c s="67"/>
      <c s="67"/>
      <c s="68"/>
      <c s="68"/>
      <c s="69"/>
      <c s="69"/>
      <c s="69"/>
    </row>
    <row r="108" spans="1:141" s="89" customFormat="1" ht="15">
      <c r="A10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7"/>
      <c s="67"/>
      <c s="67"/>
      <c s="67"/>
      <c s="67"/>
      <c s="67"/>
      <c s="67"/>
      <c s="67"/>
      <c s="67"/>
      <c s="67"/>
      <c s="67"/>
      <c s="67"/>
      <c s="67"/>
      <c s="67"/>
      <c s="67"/>
      <c s="67"/>
      <c s="67"/>
      <c s="67">
        <f>IF(ISERROR(VLOOKUP(CV113,$AL$8:$AL$14,1,FALSE))=TRUE,IF(AND(ISERROR(FIND("NeighMkt",$CX$102))=FALSE,LEFT($CW$111,10)="ALL OUTLET",$CA113&lt;&gt;"",DK113&lt;&gt;""),"",IF(AND($CV113&lt;&gt;$CW113,$CW113=CH$110),$DK113,"")),"")</f>
      </c>
      <c s="67"/>
      <c s="67"/>
      <c s="67"/>
      <c s="85"/>
      <c s="67"/>
      <c s="66" t="str">
        <f>'[1]Leakage Tree Data'!$A$7</f>
        <v>Parent Company : Total (Unfiltered)</v>
      </c>
      <c s="66"/>
      <c s="66"/>
      <c s="66"/>
      <c s="66"/>
      <c s="66"/>
      <c s="66"/>
      <c s="66"/>
      <c s="66"/>
      <c s="66"/>
      <c s="66"/>
      <c s="66"/>
      <c s="66"/>
      <c s="66"/>
      <c s="66"/>
      <c s="66"/>
      <c s="66"/>
      <c s="66"/>
      <c s="66"/>
      <c s="66"/>
      <c s="66"/>
      <c s="66"/>
      <c s="66"/>
      <c s="66"/>
      <c s="66"/>
      <c s="66"/>
      <c s="66"/>
      <c s="66"/>
      <c s="66"/>
      <c s="66"/>
      <c s="66"/>
      <c s="67" t="s">
        <v>45</v>
      </c>
      <c s="67" t="s">
        <v>45</v>
      </c>
      <c s="67" t="s">
        <v>45</v>
      </c>
      <c s="67" t="s">
        <v>45</v>
      </c>
      <c s="68" t="s">
        <v>34</v>
      </c>
      <c s="68" t="s">
        <v>34</v>
      </c>
      <c s="69"/>
      <c s="69"/>
      <c s="69"/>
    </row>
    <row r="109" spans="1:141" ht="30">
      <c r="A10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7"/>
      <c s="70" t="s">
        <v>50</v>
      </c>
      <c s="67" t="s">
        <v>38</v>
      </c>
      <c s="67" t="s">
        <v>9</v>
      </c>
      <c s="67" t="s">
        <v>13</v>
      </c>
      <c s="67" t="s">
        <v>10</v>
      </c>
      <c s="67" t="s">
        <v>15</v>
      </c>
      <c s="67" t="s">
        <v>11</v>
      </c>
      <c s="67" t="s">
        <v>17</v>
      </c>
      <c s="67" t="s">
        <v>12</v>
      </c>
      <c s="67" t="s">
        <v>19</v>
      </c>
      <c s="67"/>
      <c s="67"/>
      <c s="67" t="s">
        <v>9</v>
      </c>
      <c s="67" t="s">
        <v>21</v>
      </c>
      <c s="67" t="s">
        <v>10</v>
      </c>
      <c s="67" t="s">
        <v>22</v>
      </c>
      <c s="67" t="s">
        <v>11</v>
      </c>
      <c s="67" t="s">
        <v>23</v>
      </c>
      <c s="67" t="s">
        <v>12</v>
      </c>
      <c s="67" t="s">
        <v>24</v>
      </c>
      <c s="67"/>
      <c s="67"/>
      <c s="66" t="str">
        <f>'[1]Leakage Tree Data'!$A$8</f>
        <v>Geography</v>
      </c>
      <c s="66" t="str">
        <f>'[1]Leakage Tree Data'!$B$8</f>
        <v>Current</v>
      </c>
      <c s="66"/>
      <c s="66"/>
      <c s="66"/>
      <c s="66"/>
      <c s="66"/>
      <c s="66"/>
      <c s="66"/>
      <c s="66"/>
      <c s="66"/>
      <c s="66"/>
      <c s="66"/>
      <c s="66"/>
      <c s="66"/>
      <c s="66"/>
      <c s="66" t="str">
        <f>'[1]Leakage Tree Data'!$Q$8</f>
        <v>Change vs YA</v>
      </c>
      <c s="66"/>
      <c s="66"/>
      <c s="66"/>
      <c s="66"/>
      <c s="66"/>
      <c s="66"/>
      <c s="66"/>
      <c s="66"/>
      <c s="66"/>
      <c s="66"/>
      <c s="66"/>
      <c s="66"/>
      <c s="66"/>
      <c s="66"/>
      <c s="67" t="s">
        <v>32</v>
      </c>
      <c s="67" t="s">
        <v>32</v>
      </c>
      <c s="67" t="s">
        <v>33</v>
      </c>
      <c s="67" t="s">
        <v>33</v>
      </c>
      <c s="68" t="s">
        <v>33</v>
      </c>
      <c s="68" t="s">
        <v>33</v>
      </c>
      <c s="115" t="s">
        <v>411</v>
      </c>
      <c s="115"/>
      <c s="69"/>
    </row>
    <row r="110" spans="1:141" ht="43.5">
      <c r="A11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8"/>
      <c s="67" t="s">
        <v>29</v>
      </c>
      <c s="67" t="s">
        <v>5</v>
      </c>
      <c s="67" t="s">
        <v>7</v>
      </c>
      <c s="67" t="str">
        <f>IF(ISERROR(VLOOKUP(1,$CC$113:$CW$300,21,FALSE))=TRUE,"",VLOOKUP(1,$CC$113:$CW$300,21,FALSE))</f>
        <v>GroceryX</v>
      </c>
      <c s="67" t="s">
        <v>14</v>
      </c>
      <c s="67" t="str">
        <f>IF(ISERROR(VLOOKUP(2,$CC$113:$CW$300,21,FALSE))=TRUE,"",VLOOKUP(2,$CC$113:$CW$300,21,FALSE))</f>
        <v>Club</v>
      </c>
      <c s="67" t="s">
        <v>16</v>
      </c>
      <c s="67" t="str">
        <f>IF(ISERROR(VLOOKUP(3,$CC$113:$CW$300,21,FALSE))=TRUE,"",VLOOKUP(3,$CC$113:$CW$300,21,FALSE))</f>
        <v>Walmart Total</v>
      </c>
      <c s="67" t="s">
        <v>18</v>
      </c>
      <c s="67" t="str">
        <f>IF($Z$4="",IF(ISERROR(VLOOKUP(4,$CC$113:$CW$300,21,FALSE))=TRUE,"",VLOOKUP(4,$CC$113:$CW$300,21,FALSE)),"All Other Outlets")</f>
        <v>All Other Outlets</v>
      </c>
      <c s="67" t="s">
        <v>20</v>
      </c>
      <c s="67" t="s">
        <v>6</v>
      </c>
      <c s="67" t="s">
        <v>8</v>
      </c>
      <c s="67" t="str">
        <f>IF(ISERROR(VLOOKUP(1,$CM$113:$CW$300,11,FALSE))=TRUE,"",VLOOKUP(1,$CM$113:$CW$300,11,FALSE))</f>
        <v>GroceryX</v>
      </c>
      <c s="67" t="s">
        <v>14</v>
      </c>
      <c s="67" t="str">
        <f>IF(ISERROR(VLOOKUP(2,$CM$113:$CW$300,11,FALSE))=TRUE,"",VLOOKUP(2,$CM$113:$CW$300,11,FALSE))</f>
        <v>Club</v>
      </c>
      <c s="67" t="s">
        <v>16</v>
      </c>
      <c s="67" t="str">
        <f>IF(ISERROR(VLOOKUP(3,$CM$113:$CW$300,11,FALSE))=TRUE,"",VLOOKUP(3,$CM$113:$CW$300,11,FALSE))</f>
        <v>Walmart Total</v>
      </c>
      <c s="67" t="s">
        <v>18</v>
      </c>
      <c s="67" t="str">
        <f>IF($Z$4="",IF(ISERROR(VLOOKUP(4,$CM$113:$CW$300,11,FALSE))=TRUE,"",VLOOKUP(4,$CM$113:$CW$300,11,FALSE)),"All Other Outlets")</f>
        <v>All Other Outlets</v>
      </c>
      <c s="67" t="s">
        <v>20</v>
      </c>
      <c s="67" t="s">
        <v>4</v>
      </c>
      <c s="67" t="s">
        <v>3</v>
      </c>
      <c s="66" t="str">
        <f>'[1]Leakage Tree Data'!$A$8</f>
        <v>Geography</v>
      </c>
      <c s="66" t="str">
        <f>'[1]Leakage Tree Data'!B9</f>
        <v>Same Outlet Parent Geography</v>
      </c>
      <c s="66" t="str">
        <f>'[1]Leakage Tree Data'!C9</f>
        <v>Segment HHs</v>
      </c>
      <c s="66" t="str">
        <f>'[1]Leakage Tree Data'!D9</f>
        <v>Retailer Shoppers</v>
      </c>
      <c s="66" t="str">
        <f>'[1]Leakage Tree Data'!E9</f>
        <v>% HHs Shopping</v>
      </c>
      <c s="66" t="str">
        <f>'[1]Leakage Tree Data'!F9</f>
        <v>HH Not Shopping</v>
      </c>
      <c s="66" t="str">
        <f>'[1]Leakage Tree Data'!G9</f>
        <v>% HH Not Shopping</v>
      </c>
      <c s="66" t="str">
        <f>'[1]Leakage Tree Data'!H9</f>
        <v>Anywhere Product Buyers (G2 Shoppers)</v>
      </c>
      <c s="66" t="str">
        <f>'[1]Leakage Tree Data'!I9</f>
        <v>Leakage Outlet Parent</v>
      </c>
      <c s="66" t="str">
        <f>'[1]Leakage Tree Data'!J9</f>
        <v>% All Outlet Buyers Unconverted (G2 Shoppers)</v>
      </c>
      <c s="66" t="str">
        <f>'[1]Leakage Tree Data'!K9</f>
        <v>Product Buyers (G2 Shoppers)</v>
      </c>
      <c s="66" t="str">
        <f>'[1]Leakage Tree Data'!L9</f>
        <v>Product Volume (G2 Converted Buyers)</v>
      </c>
      <c s="66" t="str">
        <f>'[1]Leakage Tree Data'!M9</f>
        <v>Product Volume (G2 Unconverted Buyers)</v>
      </c>
      <c s="66" t="str">
        <f>'[1]Leakage Tree Data'!N9</f>
        <v>Leakage Volume Captured (G2 Converted Buyers)</v>
      </c>
      <c s="66" t="str">
        <f>'[1]Leakage Tree Data'!O9</f>
        <v>% All Outlet Buyer Conversion Among Shoppers</v>
      </c>
      <c s="66" t="str">
        <f>'[1]Leakage Tree Data'!P9</f>
        <v>$ Opp 1 More Pt Buyer Conversion</v>
      </c>
      <c s="66" t="str">
        <f>'[1]Leakage Tree Data'!Q9</f>
        <v>Same Outlet Parent Geography</v>
      </c>
      <c s="66" t="str">
        <f>'[1]Leakage Tree Data'!R9</f>
        <v>Segment HHs</v>
      </c>
      <c s="66" t="str">
        <f>'[1]Leakage Tree Data'!S9</f>
        <v>Retailer Shoppers</v>
      </c>
      <c s="66" t="str">
        <f>'[1]Leakage Tree Data'!T9</f>
        <v>% HHs Shopping</v>
      </c>
      <c s="66" t="str">
        <f>'[1]Leakage Tree Data'!U9</f>
        <v>HH Not Shopping</v>
      </c>
      <c s="66" t="str">
        <f>'[1]Leakage Tree Data'!V9</f>
        <v>% HH Not Shopping</v>
      </c>
      <c s="66" t="str">
        <f>'[1]Leakage Tree Data'!W9</f>
        <v>Anywhere Product Buyers (G2 Shoppers)</v>
      </c>
      <c s="66" t="str">
        <f>'[1]Leakage Tree Data'!X9</f>
        <v>Leakage Outlet Parent</v>
      </c>
      <c s="66" t="str">
        <f>'[1]Leakage Tree Data'!Y9</f>
        <v>% All Outlet Buyers Unconverted (G2 Shoppers)</v>
      </c>
      <c s="66" t="str">
        <f>'[1]Leakage Tree Data'!Z9</f>
        <v>Product Buyers (G2 Shoppers)</v>
      </c>
      <c s="66" t="str">
        <f>'[1]Leakage Tree Data'!AA9</f>
        <v>Product Volume (G2 Converted Buyers)</v>
      </c>
      <c s="66" t="str">
        <f>'[1]Leakage Tree Data'!AB9</f>
        <v>Product Volume (G2 Unconverted Buyers)</v>
      </c>
      <c s="66" t="str">
        <f>'[1]Leakage Tree Data'!AC9</f>
        <v>Leakage Volume Captured (G2 Converted Buyers)</v>
      </c>
      <c s="66" t="str">
        <f>'[1]Leakage Tree Data'!AD9</f>
        <v>% All Outlet Buyer Conversion Among Shoppers</v>
      </c>
      <c s="66" t="str">
        <f>'[1]Leakage Tree Data'!AE9</f>
        <v>$ Opp 1 More Pt Buyer Conversion</v>
      </c>
      <c s="67" t="s">
        <v>30</v>
      </c>
      <c s="67" t="s">
        <v>31</v>
      </c>
      <c s="67" t="s">
        <v>30</v>
      </c>
      <c s="67" t="s">
        <v>31</v>
      </c>
      <c s="71" t="s">
        <v>36</v>
      </c>
      <c s="71" t="s">
        <v>35</v>
      </c>
      <c s="69" t="s">
        <v>4</v>
      </c>
      <c s="69" t="s">
        <v>34</v>
      </c>
      <c s="69"/>
    </row>
    <row r="111" spans="1:141" ht="15">
      <c r="A11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65"/>
      <c s="65"/>
      <c s="65"/>
      <c s="65"/>
      <c s="65"/>
      <c s="65"/>
      <c s="65"/>
      <c s="65"/>
      <c s="65"/>
      <c s="65"/>
      <c s="65"/>
      <c s="65"/>
      <c s="65"/>
      <c s="65"/>
      <c s="65"/>
      <c s="65"/>
      <c s="65"/>
      <c s="65"/>
      <c s="65"/>
      <c s="65"/>
      <c s="65" t="str">
        <f>IF(ISERROR(IF(EI111&lt;&gt;0,RIGHT(EI111,LEN(EI111)-IF(ISERROR(FIND(" - ",SUBSTITUTE(EI111," - ","^^^",1)))=FALSE,FIND(" - ",SUBSTITUTE(EI111," - ","^^^",1)),FIND(" - ",EI111))-3+1),""))=FALSE,IF(EI111&lt;&gt;0,RIGHT(EI111,LEN(EI111)-IF(ISERROR(FIND(" - ",SUBSTITUTE(EI111," - ","^^^",1)))=FALSE,FIND(" - ",SUBSTITUTE(EI111," - ","^^^",1)),FIND(" - ",EI111))-3+1),""),EI111)</f>
        <v>Target Corporate</v>
      </c>
      <c s="114" t="str">
        <f>DF111</f>
        <v>MassX and SupercenterX</v>
      </c>
      <c s="72" t="str">
        <f>IF('[1]Leakage Tree Data'!A10&lt;&gt;"",'[1]Leakage Tree Data'!A10,"")</f>
        <v>Total US - Target Corporate</v>
      </c>
      <c s="72" t="str">
        <f>IF('[1]Leakage Tree Data'!B10&lt;&gt;"",'[1]Leakage Tree Data'!B10,"")</f>
        <v>Total US - MassX and SupercenterX</v>
      </c>
      <c s="72">
        <f>IF('[1]Leakage Tree Data'!C10&lt;&gt;"",'[1]Leakage Tree Data'!C10,"")</f>
        <v>121171760.292236</v>
      </c>
      <c s="72">
        <f>IF('[1]Leakage Tree Data'!D10&lt;&gt;"",'[1]Leakage Tree Data'!D10,"")</f>
        <v>67139996.1974487</v>
      </c>
      <c s="72">
        <f>IF('[1]Leakage Tree Data'!E10&lt;&gt;"",'[1]Leakage Tree Data'!E10,"")</f>
        <v>55.4089468004126</v>
      </c>
      <c s="72">
        <f>IF('[1]Leakage Tree Data'!F10&lt;&gt;"",'[1]Leakage Tree Data'!F10,"")</f>
        <v>54031764.0947876</v>
      </c>
      <c s="72">
        <f>IF('[1]Leakage Tree Data'!G10&lt;&gt;"",'[1]Leakage Tree Data'!G10,"")</f>
        <v>44.5910531995874</v>
      </c>
      <c s="72">
        <f>IF('[1]Leakage Tree Data'!H10&lt;&gt;"",'[1]Leakage Tree Data'!H10,"")</f>
        <v>61518209.9918823</v>
      </c>
      <c s="72" t="str">
        <f>IF('[1]Leakage Tree Data'!I10&lt;&gt;"",'[1]Leakage Tree Data'!I10,"")</f>
        <v>MassX and SupercenterX</v>
      </c>
      <c s="72">
        <f>IF('[1]Leakage Tree Data'!J10&lt;&gt;"",'[1]Leakage Tree Data'!J10,"")</f>
        <v>73.1552400555661</v>
      </c>
      <c s="72">
        <f>IF('[1]Leakage Tree Data'!K10&lt;&gt;"",'[1]Leakage Tree Data'!K10,"")</f>
        <v>16514415.7944336</v>
      </c>
      <c s="72">
        <f>IF('[1]Leakage Tree Data'!L10&lt;&gt;"",'[1]Leakage Tree Data'!L10,"")</f>
        <v>244721367.615505</v>
      </c>
      <c s="72">
        <f>IF('[1]Leakage Tree Data'!M10&lt;&gt;"",'[1]Leakage Tree Data'!M10,"")</f>
      </c>
      <c s="72">
        <f>IF('[1]Leakage Tree Data'!N10&lt;&gt;"",'[1]Leakage Tree Data'!N10,"")</f>
        <v>0</v>
      </c>
      <c s="72">
        <f>IF('[1]Leakage Tree Data'!O10&lt;&gt;"",'[1]Leakage Tree Data'!O10,"")</f>
        <v>26.844759944434</v>
      </c>
      <c s="72">
        <f>IF('[1]Leakage Tree Data'!P10&lt;&gt;"",'[1]Leakage Tree Data'!P10,"")</f>
        <v>16876764.4116231</v>
      </c>
      <c s="72">
        <f>IF('[1]Leakage Tree Data'!Q10&lt;&gt;"",'[1]Leakage Tree Data'!Q10,"")</f>
      </c>
      <c s="72">
        <f>IF('[1]Leakage Tree Data'!R10&lt;&gt;"",'[1]Leakage Tree Data'!R10,"")</f>
        <v>1017625.85098267</v>
      </c>
      <c s="72">
        <f>IF('[1]Leakage Tree Data'!S10&lt;&gt;"",'[1]Leakage Tree Data'!S10,"")</f>
        <v>-1260400.19039917</v>
      </c>
      <c s="72">
        <f>IF('[1]Leakage Tree Data'!T10&lt;&gt;"",'[1]Leakage Tree Data'!T10,"")</f>
        <v>-1.51826315863424</v>
      </c>
      <c s="72">
        <f>IF('[1]Leakage Tree Data'!U10&lt;&gt;"",'[1]Leakage Tree Data'!U10,"")</f>
        <v>2278026.04138184</v>
      </c>
      <c s="72">
        <f>IF('[1]Leakage Tree Data'!V10&lt;&gt;"",'[1]Leakage Tree Data'!V10,"")</f>
        <v>1.51826315863424</v>
      </c>
      <c s="72">
        <f>IF('[1]Leakage Tree Data'!W10&lt;&gt;"",'[1]Leakage Tree Data'!W10,"")</f>
        <v>-1855949.2237854</v>
      </c>
      <c s="72">
        <f>IF('[1]Leakage Tree Data'!X10&lt;&gt;"",'[1]Leakage Tree Data'!X10,"")</f>
      </c>
      <c s="72">
        <f>IF('[1]Leakage Tree Data'!Y10&lt;&gt;"",'[1]Leakage Tree Data'!Y10,"")</f>
        <v>2.05894377096612</v>
      </c>
      <c s="72">
        <f>IF('[1]Leakage Tree Data'!Z10&lt;&gt;"",'[1]Leakage Tree Data'!Z10,"")</f>
        <v>-1803063.41738892</v>
      </c>
      <c s="72">
        <f>IF('[1]Leakage Tree Data'!AA10&lt;&gt;"",'[1]Leakage Tree Data'!AA10,"")</f>
        <v>-45103061.7511234</v>
      </c>
      <c s="72">
        <f>IF('[1]Leakage Tree Data'!AB10&lt;&gt;"",'[1]Leakage Tree Data'!AB10,"")</f>
      </c>
      <c s="72">
        <f>IF('[1]Leakage Tree Data'!AC10&lt;&gt;"",'[1]Leakage Tree Data'!AC10,"")</f>
        <v>0</v>
      </c>
      <c s="72">
        <f>IF('[1]Leakage Tree Data'!AD10&lt;&gt;"",'[1]Leakage Tree Data'!AD10,"")</f>
        <v>-2.05894377096612</v>
      </c>
      <c s="72">
        <f>IF('[1]Leakage Tree Data'!AE10&lt;&gt;"",'[1]Leakage Tree Data'!AE10,"")</f>
      </c>
      <c s="73"/>
      <c s="73"/>
      <c s="73"/>
      <c s="73"/>
      <c s="74"/>
      <c s="74"/>
      <c s="69" t="str">
        <f>IF(CX111&lt;&gt;"",IF(CW$102&lt;&gt;"Y",IF(ISERROR(FIND(" - ",CX111))=FALSE,CX111,SUBSTITUTE(CX111,"-"," - ")),CX111),"")</f>
        <v>Total US - Target Corporate</v>
      </c>
      <c s="69" t="str">
        <f>IF(CX111&lt;&gt;"",IF(CW$102&lt;&gt;"Y",IF(ISERROR(FIND(" - ",CY111))=FALSE,CY111,SUBSTITUTE(CY111,"-"," - ")),CY111),"")</f>
        <v>Total US - MassX and SupercenterX</v>
      </c>
      <c s="69"/>
    </row>
    <row r="112" spans="1:140" ht="15">
      <c r="A11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65"/>
      <c s="65"/>
      <c s="65"/>
      <c s="65"/>
      <c s="65"/>
      <c s="65"/>
      <c s="65"/>
      <c s="65"/>
      <c s="65"/>
      <c s="65"/>
      <c s="65"/>
      <c s="65"/>
      <c s="65"/>
      <c s="65"/>
      <c s="65"/>
      <c s="65"/>
      <c s="65"/>
      <c s="65"/>
      <c s="65"/>
      <c s="65"/>
      <c s="65" t="str">
        <f>IF(ISERROR(RIGHT(EI112,LEN(EI112)-IF(ISERROR(FIND(" - ",SUBSTITUTE(EI112," - ","^^^",1)))=FALSE,FIND(" - ",SUBSTITUTE(EI112," - ","^^^",1)),FIND(" - ",EI112))-3+1))=FALSE,RIGHT(EI112,LEN(EI112)-IF(ISERROR(FIND(" - ",SUBSTITUTE(EI112," - ","^^^",1)))=FALSE,FIND(" - ",SUBSTITUTE(EI112," - ","^^^",1)),FIND(" - ",EI112))-3+1),"")</f>
        <v>All Outlets</v>
      </c>
      <c s="65" t="str">
        <f>IF(EJ112&lt;&gt;"",RIGHT(EJ112,LEN(EJ112)-IF(ISERROR(FIND(" - ",SUBSTITUTE(EJ112," - ","^^^",1)))=FALSE,FIND(" - ",SUBSTITUTE(EJ112," - ","^^^",1)),FIND(" - ",EJ112))-3+1),"")</f>
        <v>All Outlets</v>
      </c>
      <c s="72" t="str">
        <f>IF('[1]Leakage Tree Data'!A11&lt;&gt;"",'[1]Leakage Tree Data'!A11,"")</f>
        <v>Total US - All Outlets</v>
      </c>
      <c s="72" t="str">
        <f>IF('[1]Leakage Tree Data'!B11&lt;&gt;"",'[1]Leakage Tree Data'!B11,"")</f>
        <v>Total US - All Outlets</v>
      </c>
      <c s="72">
        <f>IF('[1]Leakage Tree Data'!C11&lt;&gt;"",'[1]Leakage Tree Data'!C11,"")</f>
        <v>121171760.292236</v>
      </c>
      <c s="72">
        <f>IF('[1]Leakage Tree Data'!D11&lt;&gt;"",'[1]Leakage Tree Data'!D11,"")</f>
        <v>121171760.292236</v>
      </c>
      <c s="72">
        <f>IF('[1]Leakage Tree Data'!E11&lt;&gt;"",'[1]Leakage Tree Data'!E11,"")</f>
        <v>100</v>
      </c>
      <c s="72">
        <f>IF('[1]Leakage Tree Data'!F11&lt;&gt;"",'[1]Leakage Tree Data'!F11,"")</f>
        <v>0</v>
      </c>
      <c s="72">
        <f>IF('[1]Leakage Tree Data'!G11&lt;&gt;"",'[1]Leakage Tree Data'!G11,"")</f>
        <v>0</v>
      </c>
      <c s="72">
        <f>IF('[1]Leakage Tree Data'!H11&lt;&gt;"",'[1]Leakage Tree Data'!H11,"")</f>
        <v>61518209.9918823</v>
      </c>
      <c s="72" t="str">
        <f>IF('[1]Leakage Tree Data'!I11&lt;&gt;"",'[1]Leakage Tree Data'!I11,"")</f>
        <v>All Outlets</v>
      </c>
      <c s="72">
        <f>IF('[1]Leakage Tree Data'!J11&lt;&gt;"",'[1]Leakage Tree Data'!J11,"")</f>
        <v>0</v>
      </c>
      <c s="72">
        <f>IF('[1]Leakage Tree Data'!K11&lt;&gt;"",'[1]Leakage Tree Data'!K11,"")</f>
        <v>61518209.9918823</v>
      </c>
      <c s="72">
        <f>IF('[1]Leakage Tree Data'!L11&lt;&gt;"",'[1]Leakage Tree Data'!L11,"")</f>
        <v>780900029.86931</v>
      </c>
      <c s="72">
        <f>IF('[1]Leakage Tree Data'!M11&lt;&gt;"",'[1]Leakage Tree Data'!M11,"")</f>
        <v>1805462067.56759</v>
      </c>
      <c s="72">
        <f>IF('[1]Leakage Tree Data'!N11&lt;&gt;"",'[1]Leakage Tree Data'!N11,"")</f>
        <v>536178662.253805</v>
      </c>
      <c s="72">
        <f>IF('[1]Leakage Tree Data'!O11&lt;&gt;"",'[1]Leakage Tree Data'!O11,"")</f>
        <v>100</v>
      </c>
      <c s="72">
        <f>IF('[1]Leakage Tree Data'!P11&lt;&gt;"",'[1]Leakage Tree Data'!P11,"")</f>
      </c>
      <c s="72">
        <f>IF('[1]Leakage Tree Data'!Q11&lt;&gt;"",'[1]Leakage Tree Data'!Q11,"")</f>
      </c>
      <c s="72">
        <f>IF('[1]Leakage Tree Data'!R11&lt;&gt;"",'[1]Leakage Tree Data'!R11,"")</f>
        <v>1017625.85098267</v>
      </c>
      <c s="72">
        <f>IF('[1]Leakage Tree Data'!S11&lt;&gt;"",'[1]Leakage Tree Data'!S11,"")</f>
        <v>1017625.85098267</v>
      </c>
      <c s="72">
        <f>IF('[1]Leakage Tree Data'!T11&lt;&gt;"",'[1]Leakage Tree Data'!T11,"")</f>
        <v>0</v>
      </c>
      <c s="72">
        <f>IF('[1]Leakage Tree Data'!U11&lt;&gt;"",'[1]Leakage Tree Data'!U11,"")</f>
        <v>0</v>
      </c>
      <c s="72">
        <f>IF('[1]Leakage Tree Data'!V11&lt;&gt;"",'[1]Leakage Tree Data'!V11,"")</f>
        <v>0</v>
      </c>
      <c s="72">
        <f>IF('[1]Leakage Tree Data'!W11&lt;&gt;"",'[1]Leakage Tree Data'!W11,"")</f>
        <v>-1855949.2237854</v>
      </c>
      <c s="72">
        <f>IF('[1]Leakage Tree Data'!X11&lt;&gt;"",'[1]Leakage Tree Data'!X11,"")</f>
      </c>
      <c s="72">
        <f>IF('[1]Leakage Tree Data'!Y11&lt;&gt;"",'[1]Leakage Tree Data'!Y11,"")</f>
        <v>0</v>
      </c>
      <c s="72">
        <f>IF('[1]Leakage Tree Data'!Z11&lt;&gt;"",'[1]Leakage Tree Data'!Z11,"")</f>
        <v>-1855949.2237854</v>
      </c>
      <c s="72">
        <f>IF('[1]Leakage Tree Data'!AA11&lt;&gt;"",'[1]Leakage Tree Data'!AA11,"")</f>
        <v>-155231933.90303</v>
      </c>
      <c s="72">
        <f>IF('[1]Leakage Tree Data'!AB11&lt;&gt;"",'[1]Leakage Tree Data'!AB11,"")</f>
        <v>-87366926.1142564</v>
      </c>
      <c s="72">
        <f>IF('[1]Leakage Tree Data'!AC11&lt;&gt;"",'[1]Leakage Tree Data'!AC11,"")</f>
        <v>-110128872.151907</v>
      </c>
      <c s="72">
        <f>IF('[1]Leakage Tree Data'!AD11&lt;&gt;"",'[1]Leakage Tree Data'!AD11,"")</f>
        <v>0</v>
      </c>
      <c s="72">
        <f>IF('[1]Leakage Tree Data'!AE11&lt;&gt;"",'[1]Leakage Tree Data'!AE11,"")</f>
      </c>
      <c s="73"/>
      <c s="73"/>
      <c s="73"/>
      <c s="73"/>
      <c s="74"/>
      <c s="74"/>
      <c s="69" t="str">
        <f t="shared" ref="EI112:EI175" si="0">IF(CX112&lt;&gt;"",IF(CW$102&lt;&gt;"Y",IF(ISERROR(FIND(" - ",CX112))=FALSE,CX112,SUBSTITUTE(CX112,"-"," - ")),CX112),"")</f>
        <v>Total US - All Outlets</v>
      </c>
      <c s="69" t="str">
        <f t="shared" ref="EJ112:EJ175" si="1">IF(CX112&lt;&gt;"",IF(CW$102&lt;&gt;"Y",IF(ISERROR(FIND(" - ",CY112))=FALSE,CY112,SUBSTITUTE(CY112,"-"," - ")),CY112),"")</f>
        <v>Total US - All Outlets</v>
      </c>
    </row>
    <row r="113" spans="1:141" ht="15">
      <c r="A11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IF(ISERROR(FIND("Walmart",CV113))=FALSE,CW113,"")</f>
      </c>
      <c s="75">
        <f t="shared" ref="CB113:CB144" si="2">IF(ISERROR(VLOOKUP(CV113,$AL$8:$AL$14,1,FALSE))=TRUE,IF(AND(CV113=CW113,CV113&lt;&gt;"",DI$111&lt;&gt;"",DK113&lt;&gt;""),IF(CW$101="Y",DK113-IF(ISERROR(VLOOKUP(CV113,$CA$113:$DK$300,37,FALSE))=TRUE,0,IF(VLOOKUP(CV113,$CA$113:$DK$300,37,FALSE)="",0,VLOOKUP(CV113,$CA$113:$DK$300,37,FALSE))),DK113-IF(AND(CW$102="Y",CV113=$CW$111),DI$111,0)),""),"")</f>
        <v>125375169.562042</v>
      </c>
      <c s="76">
        <f t="shared" ref="CC113:CC144" si="3">IF(ISERROR(VLOOKUP(CV113,$AL$8:$AL$14,1,FALSE))=TRUE,IF(CB113&lt;&gt;"",IF(CB113&gt;0,IF(Z$4&lt;&gt;"",MIN(4,RANK(CB113,$CB$111:$CB$300)),RANK(CB113,$CB$111:$CB$300)),""),""),"")</f>
        <v>2</v>
      </c>
      <c s="75">
        <f t="shared" ref="CD113:CD144" si="4">IF(ISERROR(VLOOKUP(CV113,$AL$8:$AL$14,1,FALSE))=TRUE,IF(AND(ISERROR(FIND("NeighMkt",$CX$102))=FALSE,LEFT($CW$111,10)="ALL OUTLET",$CA113&lt;&gt;"",DK113&lt;&gt;""),"",IF(AND($CV113&lt;&gt;$CW113,$CW113=CD$110),$DK113,"")),"")</f>
      </c>
      <c s="76">
        <f t="shared" ref="CE113:CE144" si="5">IF(ISERROR(VLOOKUP(CV113,$AL$8:$AL$14,1,FALSE))=TRUE,IF(CD113&lt;&gt;"",IF(CD113&gt;0,RANK(CD113,$CD$111:$CD$300),""),""),"")</f>
      </c>
      <c s="75">
        <f t="shared" ref="CF113:CF144" si="6">IF(ISERROR(VLOOKUP(CV113,$AL$8:$AL$14,1,FALSE))=TRUE,IF(AND(ISERROR(FIND("NeighMkt",$CX$102))=FALSE,LEFT($CW$111,10)="ALL OUTLET",$CA113&lt;&gt;"",DK113&lt;&gt;""),"",IF(AND($CV113&lt;&gt;$CW113,$CW113=CF$110),$DK113,"")),"")</f>
      </c>
      <c s="76">
        <f t="shared" ref="CG113:CG144" si="7">IF(ISERROR(VLOOKUP(CV113,$AL$8:$AL$14,1,FALSE))=TRUE,IF(CF113&lt;&gt;"",IF(CF113&gt;0,RANK(CF113,$CF$111:$CF$300),""),""),"")</f>
      </c>
      <c s="75">
        <f>IF(ISERROR(VLOOKUP(CV113,$AL$8:$AL$14,1,FALSE))=TRUE,IF(AND(ISERROR(FIND("NeighMkt",$CX$102))=FALSE,LEFT($CW$111,10)="ALL OUTLET",$CA113&lt;&gt;"",DK113&lt;&gt;""),"",IF(AND($CV113&lt;&gt;$CW113,$CW113=CH$110),$DK113,"")),"")</f>
      </c>
      <c s="76">
        <f t="shared" ref="CI113:CI144" si="8">IF(ISERROR(VLOOKUP(CV113,$AL$8:$AL$14,1,FALSE))=TRUE,IF(CH113&lt;&gt;"",IF(CH113&gt;0,RANK(CH113,$CH$111:$CH$300),""),""),"")</f>
      </c>
      <c s="75">
        <f>IF(ISERROR(VLOOKUP(CV113,$AL$8:$AL$14,1,FALSE))=TRUE,IF(AND(ISERROR(FIND("NeighMkt",$CX$102))=FALSE,LEFT($CW$111,10)="ALL OUTLET",$CA113&lt;&gt;"",DK113&lt;&gt;""),"",IF($Z$4="",IF(AND($CV113&lt;&gt;$CW113,$CW113=CJ$110),$DK113,""),IF(AND($CV113&lt;&gt;$CW113,$CW113&lt;&gt;CD$110,$CW113&lt;&gt;CF$110,$CW113&lt;&gt;CH$110,$CW113&lt;&gt;$CV$111),$DK113,""))),"")</f>
      </c>
      <c s="76">
        <f t="shared" ref="CK113:CK144" si="9">IF(ISERROR(VLOOKUP(CV113,$AL$8:$AL$14,1,FALSE))=TRUE,IF(CJ113&lt;&gt;"",IF(CJ113&gt;0,RANK(CJ113,$CJ$111:$CJ$300),""),""),"")</f>
      </c>
      <c s="75">
        <f t="shared" ref="CL113:CL144" si="10">IF(ISERROR(VLOOKUP(CV113,$AL$8:$AL$14,1,FALSE))=TRUE,IF(AND(CV113=CW113,CV113&lt;&gt;"",DJ113&lt;&gt;""),IF(AND(ISERROR(FIND("NeighMkt",$CX$102))=FALSE,LEFT($CW$111,10)="ALL OUTLET"),DJ113-IF(ISERROR(VLOOKUP(CV113,$CA$113:$DK$300,36,FALSE))=TRUE,0,IF(VLOOKUP(CV113,$CA$113:$DK$300,36,FALSE)="",0,VLOOKUP(CV113,$CA$113:$DK$300,36,FALSE))),DJ113),""),"")</f>
        <v>425359948.164246</v>
      </c>
      <c s="76">
        <f t="shared" ref="CM113:CM144" si="11">IF(ISERROR(VLOOKUP(CV113,$AL$8:$AL$14,1,FALSE))=TRUE,IF(CL113&lt;&gt;"",IF(CL113&gt;0,IF($Z$4&lt;&gt;"",MIN(4,RANK(CL113,$CL$111:$CL$300)),RANK(CL113,$CL$111:$CL$300)),""),""),"")</f>
        <v>2</v>
      </c>
      <c s="75">
        <f t="shared" ref="CN113:CN144" si="12">IF(ISERROR(VLOOKUP(CV113,$AL$8:$AL$14,1,FALSE))=TRUE,IF(AND(ISERROR(FIND("NeighMkt",$CX$102))=FALSE,LEFT($CW$111,10)="ALL OUTLET",$CA113&lt;&gt;"",DJ113&lt;&gt;""),"",IF(AND($CV113&lt;&gt;$CW113,$CW113=CN$110),$DJ113,"")),"")</f>
      </c>
      <c s="76">
        <f t="shared" ref="CO113:CO144" si="13">IF(ISERROR(VLOOKUP(CV113,$AL$8:$AL$14,1,FALSE))=TRUE,IF(CN113&lt;&gt;"",IF(CN113&gt;0,RANK(CN113,$CN$111:$CN$300),""),""),"")</f>
      </c>
      <c s="75">
        <f t="shared" ref="CP113:CP144" si="14">IF(ISERROR(VLOOKUP(CV113,$AL$8:$AL$14,1,FALSE))=TRUE,IF(AND(ISERROR(FIND("NeighMkt",$CX$102))=FALSE,LEFT($CW$111,10)="ALL OUTLET",$CA113&lt;&gt;"",DJ113&lt;&gt;""),"",IF(AND($CV113&lt;&gt;$CW113,$CW113=CP$110),$DJ113,"")),"")</f>
      </c>
      <c s="76">
        <f t="shared" ref="CQ113:CQ144" si="15">IF(ISERROR(VLOOKUP(CV113,$AL$8:$AL$14,1,FALSE))=TRUE,IF(CP113&lt;&gt;"",IF(CP113&gt;0,RANK(CP113,$CP$111:$CP$300),""),""),"")</f>
      </c>
      <c s="75">
        <f t="shared" ref="CR113:CR144" si="16">IF(ISERROR(VLOOKUP(CV113,$AL$8:$AL$14,1,FALSE))=TRUE,IF(AND(ISERROR(FIND("NeighMkt",$CX$102))=FALSE,LEFT($CW$111,10)="ALL OUTLET",$CA113&lt;&gt;"",DJ113&lt;&gt;""),"",IF(AND($CV113&lt;&gt;$CW113,$CW113=CR$110),$DJ113,"")),"")</f>
      </c>
      <c s="76">
        <f t="shared" ref="CS113:CS144" si="17">IF(ISERROR(VLOOKUP(CV113,$AL$8:$AL$14,1,FALSE))=TRUE,IF(CR113&lt;&gt;"",IF(CR113&gt;0,RANK(CR113,$CR$111:$CR$300),""),""),"")</f>
      </c>
      <c s="75">
        <f>IF(ISERROR(VLOOKUP(CV113,$AL$8:$AL$14,1,FALSE))=TRUE,IF(AND(ISERROR(FIND("NeighMkt",$CX$102))=FALSE,LEFT($CW$111,10)="ALL OUTLET",$CA113&lt;&gt;"",DJ113&lt;&gt;""),"",IF($Z$4="",IF(AND($CV113&lt;&gt;$CW113,$CW113=CT$110),$DJ113,""),IF(AND($CV113&lt;&gt;$CW113,$CW113&lt;&gt;CN$110,$CW113&lt;&gt;CP$110,$CW113&lt;&gt;CR$110,$CW113&lt;&gt;$CV$111),$DJ113,""))),"")</f>
      </c>
      <c s="76">
        <f t="shared" ref="CU113:CU144" si="18">IF(ISERROR(VLOOKUP(CV113,$AL$8:$AL$14,1,FALSE))=TRUE,IF(CT113&lt;&gt;"",IF(CT113&gt;0,RANK(CT113,$CT$111:$CT$300),""),""),"")</f>
      </c>
      <c s="65" t="str">
        <f t="shared" ref="CV113:CV176" si="19">IF(ISERROR(RIGHT(EI113,LEN(EI113)-IF(ISERROR(FIND(" - ",SUBSTITUTE(EI113," - ","^^^",1)))=FALSE,FIND(" - ",SUBSTITUTE(EI113," - ","^^^",1)),FIND(" - ",EI113))-3+1))=FALSE,RIGHT(EI113,LEN(EI113)-IF(ISERROR(FIND(" - ",SUBSTITUTE(EI113," - ","^^^",1)))=FALSE,FIND(" - ",SUBSTITUTE(EI113," - ","^^^",1)),FIND(" - ",EI113))-3+1),"")</f>
        <v>Club</v>
      </c>
      <c s="65" t="str">
        <f t="shared" ref="CW113:CW176" si="20">IF(EJ113&lt;&gt;"",RIGHT(EJ113,LEN(EJ113)-IF(ISERROR(FIND(" - ",SUBSTITUTE(EJ113," - ","^^^",1)))=FALSE,FIND(" - ",SUBSTITUTE(EJ113," - ","^^^",1)),FIND(" - ",EJ113))-3+1),"")</f>
        <v>Club</v>
      </c>
      <c s="72" t="str">
        <f>IF('[1]Leakage Tree Data'!A12&lt;&gt;"",'[1]Leakage Tree Data'!A12,"")</f>
        <v>Total US - Club</v>
      </c>
      <c s="72" t="str">
        <f>IF('[1]Leakage Tree Data'!B12&lt;&gt;"",'[1]Leakage Tree Data'!B12,"")</f>
        <v>Total US - Club</v>
      </c>
      <c s="72">
        <f>IF('[1]Leakage Tree Data'!C12&lt;&gt;"",'[1]Leakage Tree Data'!C12,"")</f>
        <v>121171760.292236</v>
      </c>
      <c s="72">
        <f>IF('[1]Leakage Tree Data'!D12&lt;&gt;"",'[1]Leakage Tree Data'!D12,"")</f>
        <v>64718222.1340942</v>
      </c>
      <c s="72">
        <f>IF('[1]Leakage Tree Data'!E12&lt;&gt;"",'[1]Leakage Tree Data'!E12,"")</f>
        <v>53.4103176994457</v>
      </c>
      <c s="72">
        <f>IF('[1]Leakage Tree Data'!F12&lt;&gt;"",'[1]Leakage Tree Data'!F12,"")</f>
        <v>56453538.1581421</v>
      </c>
      <c s="72">
        <f>IF('[1]Leakage Tree Data'!G12&lt;&gt;"",'[1]Leakage Tree Data'!G12,"")</f>
        <v>46.5896823005543</v>
      </c>
      <c s="72">
        <f>IF('[1]Leakage Tree Data'!H12&lt;&gt;"",'[1]Leakage Tree Data'!H12,"")</f>
        <v>61518209.9918823</v>
      </c>
      <c s="72" t="str">
        <f>IF('[1]Leakage Tree Data'!I12&lt;&gt;"",'[1]Leakage Tree Data'!I12,"")</f>
        <v>Club</v>
      </c>
      <c s="72">
        <f>IF('[1]Leakage Tree Data'!J12&lt;&gt;"",'[1]Leakage Tree Data'!J12,"")</f>
        <v>71.9835231653734</v>
      </c>
      <c s="72">
        <f>IF('[1]Leakage Tree Data'!K12&lt;&gt;"",'[1]Leakage Tree Data'!K12,"")</f>
        <v>17235235.0514526</v>
      </c>
      <c s="72">
        <f>IF('[1]Leakage Tree Data'!L12&lt;&gt;"",'[1]Leakage Tree Data'!L12,"")</f>
        <v>125375169.562042</v>
      </c>
      <c s="72">
        <f>IF('[1]Leakage Tree Data'!M12&lt;&gt;"",'[1]Leakage Tree Data'!M12,"")</f>
        <v>425359948.164246</v>
      </c>
      <c s="72">
        <f>IF('[1]Leakage Tree Data'!N12&lt;&gt;"",'[1]Leakage Tree Data'!N12,"")</f>
        <v>125375169.562042</v>
      </c>
      <c s="72">
        <f>IF('[1]Leakage Tree Data'!O12&lt;&gt;"",'[1]Leakage Tree Data'!O12,"")</f>
        <v>43.5480660563332</v>
      </c>
      <c s="72">
        <f>IF('[1]Leakage Tree Data'!P12&lt;&gt;"",'[1]Leakage Tree Data'!P12,"")</f>
        <v>25285757.7107018</v>
      </c>
      <c s="72">
        <f>IF('[1]Leakage Tree Data'!Q12&lt;&gt;"",'[1]Leakage Tree Data'!Q12,"")</f>
      </c>
      <c s="72">
        <f>IF('[1]Leakage Tree Data'!R12&lt;&gt;"",'[1]Leakage Tree Data'!R12,"")</f>
        <v>1017625.85098267</v>
      </c>
      <c s="72">
        <f>IF('[1]Leakage Tree Data'!S12&lt;&gt;"",'[1]Leakage Tree Data'!S12,"")</f>
        <v>399802.228637695</v>
      </c>
      <c s="72">
        <f>IF('[1]Leakage Tree Data'!T12&lt;&gt;"",'[1]Leakage Tree Data'!T12,"")</f>
        <v>-0.119608844116883</v>
      </c>
      <c s="72">
        <f>IF('[1]Leakage Tree Data'!U12&lt;&gt;"",'[1]Leakage Tree Data'!U12,"")</f>
        <v>617823.622344971</v>
      </c>
      <c s="72">
        <f>IF('[1]Leakage Tree Data'!V12&lt;&gt;"",'[1]Leakage Tree Data'!V12,"")</f>
        <v>0.119608844116883</v>
      </c>
      <c s="72">
        <f>IF('[1]Leakage Tree Data'!W12&lt;&gt;"",'[1]Leakage Tree Data'!W12,"")</f>
        <v>-1855949.2237854</v>
      </c>
      <c s="72">
        <f>IF('[1]Leakage Tree Data'!X12&lt;&gt;"",'[1]Leakage Tree Data'!X12,"")</f>
      </c>
      <c s="72">
        <f>IF('[1]Leakage Tree Data'!Y12&lt;&gt;"",'[1]Leakage Tree Data'!Y12,"")</f>
        <v>-0.0717617079024819</v>
      </c>
      <c s="72">
        <f>IF('[1]Leakage Tree Data'!Z12&lt;&gt;"",'[1]Leakage Tree Data'!Z12,"")</f>
        <v>-474493.205322266</v>
      </c>
      <c s="72">
        <f>IF('[1]Leakage Tree Data'!AA12&lt;&gt;"",'[1]Leakage Tree Data'!AA12,"")</f>
        <v>-20949862.1638031</v>
      </c>
      <c s="72">
        <f>IF('[1]Leakage Tree Data'!AB12&lt;&gt;"",'[1]Leakage Tree Data'!AB12,"")</f>
        <v>-13723169.0442581</v>
      </c>
      <c s="72">
        <f>IF('[1]Leakage Tree Data'!AC12&lt;&gt;"",'[1]Leakage Tree Data'!AC12,"")</f>
        <v>-20949862.1638031</v>
      </c>
      <c s="72">
        <f>IF('[1]Leakage Tree Data'!AD12&lt;&gt;"",'[1]Leakage Tree Data'!AD12,"")</f>
        <v>-0.247508380577806</v>
      </c>
      <c s="72">
        <f>IF('[1]Leakage Tree Data'!AE12&lt;&gt;"",'[1]Leakage Tree Data'!AE12,"")</f>
      </c>
      <c s="73">
        <f t="shared" ref="EC113:EC144" si="21">IF(AND(CV113=CW113,CV113&lt;&gt;"",DJ113&lt;&gt;""),IF(AND(ISERROR(FIND("NeighMkt",$CX$102))=FALSE,LEFT($CW$111,10)="ALL OUTLET"),DJ113-IF(ISERROR(VLOOKUP(CV113,$CA$113:$DK$300,36,FALSE))=TRUE,0,IF(VLOOKUP(CV113,$CA$113:$DK$300,36,FALSE)="",0,VLOOKUP(CV113,$CA$113:$DK$300,36,FALSE))),DJ113),"")</f>
        <v>425359948.164246</v>
      </c>
      <c s="73">
        <f t="shared" ref="ED113:ED144" si="22">IF(AND(CV113=CW113,CV113&lt;&gt;"",DI$111&lt;&gt;"",DK113&lt;&gt;""),IF(CW$101="Y",DK113-IF(ISERROR(VLOOKUP(CV113,$CA$113:$DK$300,37,FALSE))=TRUE,0,IF(VLOOKUP(CV113,$CA$113:$DK$300,37,FALSE)="",0,VLOOKUP(CV113,$CA$113:$DK$300,37,FALSE))),DK113-IF(AND(CW$102="Y",CV113=$CW$111),DI$111,0)),"")</f>
        <v>125375169.562042</v>
      </c>
      <c s="73">
        <f t="shared" ref="EE113:EE144" si="23">IF(AND(CV113=CW113,CV113&lt;&gt;"",DJ113&lt;&gt;"",DY113&lt;&gt;""),IF(AND(ISERROR(FIND("NeighMkt",$CX$102))=FALSE,LEFT($CW$111,10)="ALL OUTLET"),DY113-IF(ISERROR(VLOOKUP(CV113,$CA$113:$DZ$300,51,FALSE))=TRUE,0,IF(VLOOKUP(CV113,$CA$113:$DZ$300,51,FALSE)="",0,VLOOKUP(CV113,$CA$113:$DZ$300,51,FALSE))),DY113),"")</f>
        <v>-13723169.0442581</v>
      </c>
      <c s="73">
        <f t="shared" ref="EF113:EF144" si="24">IF(AND(CV113=CW113,CV113&lt;&gt;"",DI$111&lt;&gt;"",DK113&lt;&gt;"",DZ113&lt;&gt;""),IF(CW$101="Y",DZ113-IF(ISERROR(VLOOKUP(CV113,$CA$113:$DZ$300,52,FALSE))=TRUE,0,IF(VLOOKUP(CV113,$CA$113:$DZ$300,52,FALSE)="",0,VLOOKUP(CV113,$CA$113:$DZ$300,52,FALSE))),DZ113-IF(AND(CW$102="Y",CV113=$CW$111),DX$111,0)),"")</f>
        <v>-20949862.1638031</v>
      </c>
      <c s="74">
        <f t="shared" ref="EG113:EG144" si="25">IF(AND(CV113=CW113,CV113&lt;&gt;"",DJ113&lt;&gt;"",EE113&lt;&gt;""),EC113/$DJ$112-(EC113-EE113)/($DJ$112-$DY$112),"")</f>
        <v>0.00362428098583692</v>
      </c>
      <c s="74">
        <f t="shared" ref="EH113:EH144" si="26">IF(AND(CV113=CW113,CV113&lt;&gt;"",DI$111&lt;&gt;"",DK113&lt;&gt;"",EF113&lt;&gt;""),ED113/$DI$112-(ED113-EF113)/($DI$112-$DX$112),"")</f>
        <v>0.00424401356236123</v>
      </c>
      <c s="69" t="str">
        <f t="shared" si="0"/>
        <v>Total US - Club</v>
      </c>
      <c s="69" t="str">
        <f t="shared" si="1"/>
        <v>Total US - Club</v>
      </c>
      <c s="77"/>
    </row>
    <row r="114" spans="1:141" ht="15">
      <c r="A11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ref="CA114:CA177" si="27">IF(ISERROR(FIND("Walmart",CV114))=FALSE,CW114,"")</f>
      </c>
      <c s="75">
        <f t="shared" si="2"/>
      </c>
      <c s="76">
        <f t="shared" si="3"/>
      </c>
      <c s="75">
        <f t="shared" si="4"/>
      </c>
      <c s="76">
        <f t="shared" si="5"/>
      </c>
      <c s="75">
        <f t="shared" si="6"/>
        <v>22749119.1530762</v>
      </c>
      <c s="76">
        <f t="shared" si="7"/>
        <v>3</v>
      </c>
      <c s="75">
        <f t="shared" ref="CH114:CH144" si="28">IF(ISERROR(VLOOKUP(CV114,$AL$8:$AL$14,1,FALSE))=TRUE,IF(AND(ISERROR(FIND("NeighMkt",$CX$102))=FALSE,LEFT($CW$111,10)="ALL OUTLET",$CA114&lt;&gt;"",DK114&lt;&gt;""),"",IF(AND($CV114&lt;&gt;$CW114,$CW114=CH$110),$DK114,"")),"")</f>
      </c>
      <c s="76">
        <f t="shared" si="8"/>
      </c>
      <c s="75">
        <f t="shared" ref="CJ114:CJ177" si="29">IF(ISERROR(VLOOKUP(CV114,$AL$8:$AL$14,1,FALSE))=TRUE,IF(AND(ISERROR(FIND("NeighMkt",$CX$102))=FALSE,LEFT($CW$111,10)="ALL OUTLET",$CA114&lt;&gt;"",DK114&lt;&gt;""),"",IF($Z$4="",IF(AND($CV114&lt;&gt;$CW114,$CW114=CJ$110),$DK114,""),IF(AND($CV114&lt;&gt;$CW114,$CW114&lt;&gt;CD$110,$CW114&lt;&gt;CF$110,$CW114&lt;&gt;CH$110,$CW114&lt;&gt;$CV$111),$DK114,""))),"")</f>
      </c>
      <c s="76">
        <f t="shared" si="9"/>
      </c>
      <c s="75">
        <f t="shared" si="10"/>
      </c>
      <c s="76">
        <f t="shared" si="11"/>
      </c>
      <c s="75">
        <f t="shared" si="12"/>
      </c>
      <c s="76">
        <f t="shared" si="13"/>
      </c>
      <c s="75">
        <f t="shared" si="14"/>
        <v>74140217.3533936</v>
      </c>
      <c s="76">
        <f t="shared" si="15"/>
        <v>3</v>
      </c>
      <c s="75">
        <f t="shared" si="16"/>
      </c>
      <c s="76">
        <f t="shared" si="17"/>
      </c>
      <c s="75">
        <f t="shared" ref="CT114:CT177" si="30">IF(ISERROR(VLOOKUP(CV114,$AL$8:$AL$14,1,FALSE))=TRUE,IF(AND(ISERROR(FIND("NeighMkt",$CX$102))=FALSE,LEFT($CW$111,10)="ALL OUTLET",$CA114&lt;&gt;"",DJ114&lt;&gt;""),"",IF($Z$4="",IF(AND($CV114&lt;&gt;$CW114,$CW114=CT$110),$DJ114,""),IF(AND($CV114&lt;&gt;$CW114,$CW114&lt;&gt;CN$110,$CW114&lt;&gt;CP$110,$CW114&lt;&gt;CR$110,$CW114&lt;&gt;$CV$111),$DJ114,""))),"")</f>
      </c>
      <c s="76">
        <f t="shared" si="18"/>
      </c>
      <c s="65" t="str">
        <f t="shared" si="19"/>
        <v>BJs Wholesale</v>
      </c>
      <c s="65" t="str">
        <f t="shared" si="20"/>
        <v>Club</v>
      </c>
      <c s="72" t="str">
        <f>IF('[1]Leakage Tree Data'!A13&lt;&gt;"",'[1]Leakage Tree Data'!A13,"")</f>
        <v>Total US - BJs Wholesale</v>
      </c>
      <c s="72" t="str">
        <f>IF('[1]Leakage Tree Data'!B13&lt;&gt;"",'[1]Leakage Tree Data'!B13,"")</f>
        <v>Total US - Club</v>
      </c>
      <c s="72">
        <f>IF('[1]Leakage Tree Data'!C13&lt;&gt;"",'[1]Leakage Tree Data'!C13,"")</f>
        <v>121171760.292236</v>
      </c>
      <c s="72">
        <f>IF('[1]Leakage Tree Data'!D13&lt;&gt;"",'[1]Leakage Tree Data'!D13,"")</f>
        <v>10550518.0960083</v>
      </c>
      <c s="72">
        <f>IF('[1]Leakage Tree Data'!E13&lt;&gt;"",'[1]Leakage Tree Data'!E13,"")</f>
        <v>8.70707669061096</v>
      </c>
      <c s="72">
        <f>IF('[1]Leakage Tree Data'!F13&lt;&gt;"",'[1]Leakage Tree Data'!F13,"")</f>
        <v>110621242.196228</v>
      </c>
      <c s="72">
        <f>IF('[1]Leakage Tree Data'!G13&lt;&gt;"",'[1]Leakage Tree Data'!G13,"")</f>
        <v>91.292923309389</v>
      </c>
      <c s="72">
        <f>IF('[1]Leakage Tree Data'!H13&lt;&gt;"",'[1]Leakage Tree Data'!H13,"")</f>
        <v>61518209.9918823</v>
      </c>
      <c s="72" t="str">
        <f>IF('[1]Leakage Tree Data'!I13&lt;&gt;"",'[1]Leakage Tree Data'!I13,"")</f>
        <v>Club</v>
      </c>
      <c s="72">
        <f>IF('[1]Leakage Tree Data'!J13&lt;&gt;"",'[1]Leakage Tree Data'!J13,"")</f>
        <v>95.3848887399709</v>
      </c>
      <c s="72">
        <f>IF('[1]Leakage Tree Data'!K13&lt;&gt;"",'[1]Leakage Tree Data'!K13,"")</f>
        <v>2839133.83630371</v>
      </c>
      <c s="72">
        <f>IF('[1]Leakage Tree Data'!L13&lt;&gt;"",'[1]Leakage Tree Data'!L13,"")</f>
        <v>22749119.1530762</v>
      </c>
      <c s="72">
        <f>IF('[1]Leakage Tree Data'!M13&lt;&gt;"",'[1]Leakage Tree Data'!M13,"")</f>
        <v>74140217.3533936</v>
      </c>
      <c s="72">
        <f>IF('[1]Leakage Tree Data'!N13&lt;&gt;"",'[1]Leakage Tree Data'!N13,"")</f>
        <v>22749119.1530762</v>
      </c>
      <c s="72">
        <f>IF('[1]Leakage Tree Data'!O13&lt;&gt;"",'[1]Leakage Tree Data'!O13,"")</f>
        <v>43.9500707569037</v>
      </c>
      <c s="72">
        <f>IF('[1]Leakage Tree Data'!P13&lt;&gt;"",'[1]Leakage Tree Data'!P13,"")</f>
        <v>4708041.33283869</v>
      </c>
      <c s="72">
        <f>IF('[1]Leakage Tree Data'!Q13&lt;&gt;"",'[1]Leakage Tree Data'!Q13,"")</f>
      </c>
      <c s="72">
        <f>IF('[1]Leakage Tree Data'!R13&lt;&gt;"",'[1]Leakage Tree Data'!R13,"")</f>
        <v>1017625.85098267</v>
      </c>
      <c s="72">
        <f>IF('[1]Leakage Tree Data'!S13&lt;&gt;"",'[1]Leakage Tree Data'!S13,"")</f>
        <v>-50874.4582519531</v>
      </c>
      <c s="72">
        <f>IF('[1]Leakage Tree Data'!T13&lt;&gt;"",'[1]Leakage Tree Data'!T13,"")</f>
        <v>-0.116084163203466</v>
      </c>
      <c s="72">
        <f>IF('[1]Leakage Tree Data'!U13&lt;&gt;"",'[1]Leakage Tree Data'!U13,"")</f>
        <v>1068500.30923462</v>
      </c>
      <c s="72">
        <f>IF('[1]Leakage Tree Data'!V13&lt;&gt;"",'[1]Leakage Tree Data'!V13,"")</f>
        <v>0.116084163203467</v>
      </c>
      <c s="72">
        <f>IF('[1]Leakage Tree Data'!W13&lt;&gt;"",'[1]Leakage Tree Data'!W13,"")</f>
        <v>-1855949.2237854</v>
      </c>
      <c s="72">
        <f>IF('[1]Leakage Tree Data'!X13&lt;&gt;"",'[1]Leakage Tree Data'!X13,"")</f>
      </c>
      <c s="72">
        <f>IF('[1]Leakage Tree Data'!Y13&lt;&gt;"",'[1]Leakage Tree Data'!Y13,"")</f>
        <v>-0.162161077894723</v>
      </c>
      <c s="72">
        <f>IF('[1]Leakage Tree Data'!Z13&lt;&gt;"",'[1]Leakage Tree Data'!Z13,"")</f>
        <v>17114.0980834961</v>
      </c>
      <c s="72">
        <f>IF('[1]Leakage Tree Data'!AA13&lt;&gt;"",'[1]Leakage Tree Data'!AA13,"")</f>
        <v>2097095.86328125</v>
      </c>
      <c s="72">
        <f>IF('[1]Leakage Tree Data'!AB13&lt;&gt;"",'[1]Leakage Tree Data'!AB13,"")</f>
        <v>1653952.54504395</v>
      </c>
      <c s="72">
        <f>IF('[1]Leakage Tree Data'!AC13&lt;&gt;"",'[1]Leakage Tree Data'!AC13,"")</f>
        <v>2097095.86328125</v>
      </c>
      <c s="72">
        <f>IF('[1]Leakage Tree Data'!AD13&lt;&gt;"",'[1]Leakage Tree Data'!AD13,"")</f>
        <v>1.09225598092273</v>
      </c>
      <c s="72">
        <f>IF('[1]Leakage Tree Data'!AE13&lt;&gt;"",'[1]Leakage Tree Data'!AE13,"")</f>
      </c>
      <c s="73">
        <f t="shared" si="21"/>
      </c>
      <c s="73">
        <f t="shared" si="22"/>
      </c>
      <c s="73">
        <f t="shared" si="23"/>
      </c>
      <c s="73">
        <f t="shared" si="24"/>
      </c>
      <c s="74">
        <f t="shared" si="25"/>
      </c>
      <c s="74">
        <f t="shared" si="26"/>
      </c>
      <c s="69" t="str">
        <f t="shared" si="0"/>
        <v>Total US - BJs Wholesale</v>
      </c>
      <c s="69" t="str">
        <f t="shared" si="1"/>
        <v>Total US - Club</v>
      </c>
      <c s="77"/>
    </row>
    <row r="115" spans="1:141" ht="15">
      <c r="A11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 t="shared" si="2"/>
      </c>
      <c s="76">
        <f t="shared" si="3"/>
      </c>
      <c s="75">
        <f t="shared" si="4"/>
      </c>
      <c s="76">
        <f t="shared" si="5"/>
      </c>
      <c s="75">
        <f t="shared" si="6"/>
        <v>63105851.6976624</v>
      </c>
      <c s="76">
        <f t="shared" si="7"/>
        <v>1</v>
      </c>
      <c s="75">
        <f t="shared" si="28"/>
      </c>
      <c s="76">
        <f t="shared" si="8"/>
      </c>
      <c s="75">
        <f t="shared" si="29"/>
      </c>
      <c s="76">
        <f t="shared" si="9"/>
      </c>
      <c s="75">
        <f t="shared" si="10"/>
      </c>
      <c s="76">
        <f t="shared" si="11"/>
      </c>
      <c s="75">
        <f t="shared" si="12"/>
      </c>
      <c s="76">
        <f t="shared" si="13"/>
      </c>
      <c s="75">
        <f t="shared" si="14"/>
        <v>194160582.373535</v>
      </c>
      <c s="76">
        <f t="shared" si="15"/>
        <v>1</v>
      </c>
      <c s="75">
        <f t="shared" si="16"/>
      </c>
      <c s="76">
        <f t="shared" si="17"/>
      </c>
      <c s="75">
        <f t="shared" si="30"/>
      </c>
      <c s="76">
        <f t="shared" si="18"/>
      </c>
      <c s="65" t="str">
        <f t="shared" si="19"/>
        <v>Costco</v>
      </c>
      <c s="65" t="str">
        <f t="shared" si="20"/>
        <v>Club</v>
      </c>
      <c s="72" t="str">
        <f>IF('[1]Leakage Tree Data'!A14&lt;&gt;"",'[1]Leakage Tree Data'!A14,"")</f>
        <v>Total US - Costco</v>
      </c>
      <c s="72" t="str">
        <f>IF('[1]Leakage Tree Data'!B14&lt;&gt;"",'[1]Leakage Tree Data'!B14,"")</f>
        <v>Total US - Club</v>
      </c>
      <c s="72">
        <f>IF('[1]Leakage Tree Data'!C14&lt;&gt;"",'[1]Leakage Tree Data'!C14,"")</f>
        <v>121171760.292236</v>
      </c>
      <c s="72">
        <f>IF('[1]Leakage Tree Data'!D14&lt;&gt;"",'[1]Leakage Tree Data'!D14,"")</f>
        <v>29920685.7605286</v>
      </c>
      <c s="72">
        <f>IF('[1]Leakage Tree Data'!E14&lt;&gt;"",'[1]Leakage Tree Data'!E14,"")</f>
        <v>24.6927878974171</v>
      </c>
      <c s="72">
        <f>IF('[1]Leakage Tree Data'!F14&lt;&gt;"",'[1]Leakage Tree Data'!F14,"")</f>
        <v>91251074.5317078</v>
      </c>
      <c s="72">
        <f>IF('[1]Leakage Tree Data'!G14&lt;&gt;"",'[1]Leakage Tree Data'!G14,"")</f>
        <v>75.3072121025829</v>
      </c>
      <c s="72">
        <f>IF('[1]Leakage Tree Data'!H14&lt;&gt;"",'[1]Leakage Tree Data'!H14,"")</f>
        <v>61518209.9918823</v>
      </c>
      <c s="72" t="str">
        <f>IF('[1]Leakage Tree Data'!I14&lt;&gt;"",'[1]Leakage Tree Data'!I14,"")</f>
        <v>Club</v>
      </c>
      <c s="72">
        <f>IF('[1]Leakage Tree Data'!J14&lt;&gt;"",'[1]Leakage Tree Data'!J14,"")</f>
        <v>85.8364609660613</v>
      </c>
      <c s="72">
        <f>IF('[1]Leakage Tree Data'!K14&lt;&gt;"",'[1]Leakage Tree Data'!K14,"")</f>
        <v>8713155.68518066</v>
      </c>
      <c s="72">
        <f>IF('[1]Leakage Tree Data'!L14&lt;&gt;"",'[1]Leakage Tree Data'!L14,"")</f>
        <v>63105851.6976624</v>
      </c>
      <c s="72">
        <f>IF('[1]Leakage Tree Data'!M14&lt;&gt;"",'[1]Leakage Tree Data'!M14,"")</f>
        <v>194160582.373535</v>
      </c>
      <c s="72">
        <f>IF('[1]Leakage Tree Data'!N14&lt;&gt;"",'[1]Leakage Tree Data'!N14,"")</f>
        <v>63105851.6976624</v>
      </c>
      <c s="72">
        <f>IF('[1]Leakage Tree Data'!O14&lt;&gt;"",'[1]Leakage Tree Data'!O14,"")</f>
        <v>45.2705308274127</v>
      </c>
      <c s="72">
        <f>IF('[1]Leakage Tree Data'!P14&lt;&gt;"",'[1]Leakage Tree Data'!P14,"")</f>
        <v>10563480.5454951</v>
      </c>
      <c s="72">
        <f>IF('[1]Leakage Tree Data'!Q14&lt;&gt;"",'[1]Leakage Tree Data'!Q14,"")</f>
      </c>
      <c s="72">
        <f>IF('[1]Leakage Tree Data'!R14&lt;&gt;"",'[1]Leakage Tree Data'!R14,"")</f>
        <v>1017625.85098267</v>
      </c>
      <c s="72">
        <f>IF('[1]Leakage Tree Data'!S14&lt;&gt;"",'[1]Leakage Tree Data'!S14,"")</f>
        <v>877609.887481689</v>
      </c>
      <c s="72">
        <f>IF('[1]Leakage Tree Data'!T14&lt;&gt;"",'[1]Leakage Tree Data'!T14,"")</f>
        <v>0.521271862530444</v>
      </c>
      <c s="72">
        <f>IF('[1]Leakage Tree Data'!U14&lt;&gt;"",'[1]Leakage Tree Data'!U14,"")</f>
        <v>140015.963500977</v>
      </c>
      <c s="72">
        <f>IF('[1]Leakage Tree Data'!V14&lt;&gt;"",'[1]Leakage Tree Data'!V14,"")</f>
        <v>-0.52127186253044</v>
      </c>
      <c s="72">
        <f>IF('[1]Leakage Tree Data'!W14&lt;&gt;"",'[1]Leakage Tree Data'!W14,"")</f>
        <v>-1855949.2237854</v>
      </c>
      <c s="72">
        <f>IF('[1]Leakage Tree Data'!X14&lt;&gt;"",'[1]Leakage Tree Data'!X14,"")</f>
      </c>
      <c s="72">
        <f>IF('[1]Leakage Tree Data'!Y14&lt;&gt;"",'[1]Leakage Tree Data'!Y14,"")</f>
        <v>-0.134644097630456</v>
      </c>
      <c s="72">
        <f>IF('[1]Leakage Tree Data'!Z14&lt;&gt;"",'[1]Leakage Tree Data'!Z14,"")</f>
        <v>-177538.527954102</v>
      </c>
      <c s="72">
        <f>IF('[1]Leakage Tree Data'!AA14&lt;&gt;"",'[1]Leakage Tree Data'!AA14,"")</f>
        <v>-9937280.11541748</v>
      </c>
      <c s="72">
        <f>IF('[1]Leakage Tree Data'!AB14&lt;&gt;"",'[1]Leakage Tree Data'!AB14,"")</f>
        <v>-8769354.89709473</v>
      </c>
      <c s="72">
        <f>IF('[1]Leakage Tree Data'!AC14&lt;&gt;"",'[1]Leakage Tree Data'!AC14,"")</f>
        <v>-9937280.11541748</v>
      </c>
      <c s="72">
        <f>IF('[1]Leakage Tree Data'!AD14&lt;&gt;"",'[1]Leakage Tree Data'!AD14,"")</f>
        <v>-0.307677386399327</v>
      </c>
      <c s="72">
        <f>IF('[1]Leakage Tree Data'!AE14&lt;&gt;"",'[1]Leakage Tree Data'!AE14,"")</f>
      </c>
      <c s="73">
        <f t="shared" si="21"/>
      </c>
      <c s="73">
        <f t="shared" si="22"/>
      </c>
      <c s="73">
        <f t="shared" si="23"/>
      </c>
      <c s="73">
        <f t="shared" si="24"/>
      </c>
      <c s="74">
        <f t="shared" si="25"/>
      </c>
      <c s="74">
        <f t="shared" si="26"/>
      </c>
      <c s="69" t="str">
        <f t="shared" si="0"/>
        <v>Total US - Costco</v>
      </c>
      <c s="69" t="str">
        <f t="shared" si="1"/>
        <v>Total US - Club</v>
      </c>
      <c s="77"/>
    </row>
    <row r="116" spans="1:141" ht="15">
      <c r="A11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 t="shared" si="2"/>
      </c>
      <c s="76">
        <f t="shared" si="3"/>
      </c>
      <c s="75">
        <f t="shared" si="4"/>
      </c>
      <c s="76">
        <f t="shared" si="5"/>
      </c>
      <c s="75">
        <f t="shared" si="6"/>
        <v>38842172.0863037</v>
      </c>
      <c s="76">
        <f t="shared" si="7"/>
        <v>2</v>
      </c>
      <c s="75">
        <f t="shared" si="28"/>
      </c>
      <c s="76">
        <f t="shared" si="8"/>
      </c>
      <c s="75">
        <f t="shared" si="29"/>
      </c>
      <c s="76">
        <f t="shared" si="9"/>
      </c>
      <c s="75">
        <f t="shared" si="10"/>
      </c>
      <c s="76">
        <f t="shared" si="11"/>
      </c>
      <c s="75">
        <f t="shared" si="12"/>
      </c>
      <c s="76">
        <f t="shared" si="13"/>
      </c>
      <c s="75">
        <f t="shared" si="14"/>
        <v>155684875.385925</v>
      </c>
      <c s="76">
        <f t="shared" si="15"/>
        <v>2</v>
      </c>
      <c s="75">
        <f t="shared" si="16"/>
      </c>
      <c s="76">
        <f t="shared" si="17"/>
      </c>
      <c s="75">
        <f t="shared" si="30"/>
      </c>
      <c s="76">
        <f t="shared" si="18"/>
      </c>
      <c s="65" t="str">
        <f t="shared" si="19"/>
        <v>Sams Club</v>
      </c>
      <c s="65" t="str">
        <f t="shared" si="20"/>
        <v>Club</v>
      </c>
      <c s="72" t="str">
        <f>IF('[1]Leakage Tree Data'!A15&lt;&gt;"",'[1]Leakage Tree Data'!A15,"")</f>
        <v>Total US - Sams Club</v>
      </c>
      <c s="72" t="str">
        <f>IF('[1]Leakage Tree Data'!B15&lt;&gt;"",'[1]Leakage Tree Data'!B15,"")</f>
        <v>Total US - Club</v>
      </c>
      <c s="72">
        <f>IF('[1]Leakage Tree Data'!C15&lt;&gt;"",'[1]Leakage Tree Data'!C15,"")</f>
        <v>121171760.292236</v>
      </c>
      <c s="72">
        <f>IF('[1]Leakage Tree Data'!D15&lt;&gt;"",'[1]Leakage Tree Data'!D15,"")</f>
        <v>32458116.1795349</v>
      </c>
      <c s="72">
        <f>IF('[1]Leakage Tree Data'!E15&lt;&gt;"",'[1]Leakage Tree Data'!E15,"")</f>
        <v>26.7868652739334</v>
      </c>
      <c s="72">
        <f>IF('[1]Leakage Tree Data'!F15&lt;&gt;"",'[1]Leakage Tree Data'!F15,"")</f>
        <v>88713644.1127014</v>
      </c>
      <c s="72">
        <f>IF('[1]Leakage Tree Data'!G15&lt;&gt;"",'[1]Leakage Tree Data'!G15,"")</f>
        <v>73.2131347260666</v>
      </c>
      <c s="72">
        <f>IF('[1]Leakage Tree Data'!H15&lt;&gt;"",'[1]Leakage Tree Data'!H15,"")</f>
        <v>61518209.9918823</v>
      </c>
      <c s="72" t="str">
        <f>IF('[1]Leakage Tree Data'!I15&lt;&gt;"",'[1]Leakage Tree Data'!I15,"")</f>
        <v>Club</v>
      </c>
      <c s="72">
        <f>IF('[1]Leakage Tree Data'!J15&lt;&gt;"",'[1]Leakage Tree Data'!J15,"")</f>
        <v>89.2701247388727</v>
      </c>
      <c s="72">
        <f>IF('[1]Leakage Tree Data'!K15&lt;&gt;"",'[1]Leakage Tree Data'!K15,"")</f>
        <v>6600827.19500732</v>
      </c>
      <c s="72">
        <f>IF('[1]Leakage Tree Data'!L15&lt;&gt;"",'[1]Leakage Tree Data'!L15,"")</f>
        <v>38842172.0863037</v>
      </c>
      <c s="72">
        <f>IF('[1]Leakage Tree Data'!M15&lt;&gt;"",'[1]Leakage Tree Data'!M15,"")</f>
        <v>155684875.385925</v>
      </c>
      <c s="72">
        <f>IF('[1]Leakage Tree Data'!N15&lt;&gt;"",'[1]Leakage Tree Data'!N15,"")</f>
        <v>38842172.0863037</v>
      </c>
      <c s="72">
        <f>IF('[1]Leakage Tree Data'!O15&lt;&gt;"",'[1]Leakage Tree Data'!O15,"")</f>
        <v>34.8462070860095</v>
      </c>
      <c s="72">
        <f>IF('[1]Leakage Tree Data'!P15&lt;&gt;"",'[1]Leakage Tree Data'!P15,"")</f>
        <v>11797985.6739397</v>
      </c>
      <c s="72">
        <f>IF('[1]Leakage Tree Data'!Q15&lt;&gt;"",'[1]Leakage Tree Data'!Q15,"")</f>
      </c>
      <c s="72">
        <f>IF('[1]Leakage Tree Data'!R15&lt;&gt;"",'[1]Leakage Tree Data'!R15,"")</f>
        <v>1017625.85098267</v>
      </c>
      <c s="72">
        <f>IF('[1]Leakage Tree Data'!S15&lt;&gt;"",'[1]Leakage Tree Data'!S15,"")</f>
        <v>102522.283081055</v>
      </c>
      <c s="72">
        <f>IF('[1]Leakage Tree Data'!T15&lt;&gt;"",'[1]Leakage Tree Data'!T15,"")</f>
        <v>-0.141541348872636</v>
      </c>
      <c s="72">
        <f>IF('[1]Leakage Tree Data'!U15&lt;&gt;"",'[1]Leakage Tree Data'!U15,"")</f>
        <v>915103.567901611</v>
      </c>
      <c s="72">
        <f>IF('[1]Leakage Tree Data'!V15&lt;&gt;"",'[1]Leakage Tree Data'!V15,"")</f>
        <v>0.141541348872636</v>
      </c>
      <c s="72">
        <f>IF('[1]Leakage Tree Data'!W15&lt;&gt;"",'[1]Leakage Tree Data'!W15,"")</f>
        <v>-1855949.2237854</v>
      </c>
      <c s="72">
        <f>IF('[1]Leakage Tree Data'!X15&lt;&gt;"",'[1]Leakage Tree Data'!X15,"")</f>
      </c>
      <c s="72">
        <f>IF('[1]Leakage Tree Data'!Y15&lt;&gt;"",'[1]Leakage Tree Data'!Y15,"")</f>
        <v>0.151305090729963</v>
      </c>
      <c s="72">
        <f>IF('[1]Leakage Tree Data'!Z15&lt;&gt;"",'[1]Leakage Tree Data'!Z15,"")</f>
        <v>-295029.365722656</v>
      </c>
      <c s="72">
        <f>IF('[1]Leakage Tree Data'!AA15&lt;&gt;"",'[1]Leakage Tree Data'!AA15,"")</f>
        <v>-12987639.8187714</v>
      </c>
      <c s="72">
        <f>IF('[1]Leakage Tree Data'!AB15&lt;&gt;"",'[1]Leakage Tree Data'!AB15,"")</f>
        <v>-5246385.11656952</v>
      </c>
      <c s="72">
        <f>IF('[1]Leakage Tree Data'!AC15&lt;&gt;"",'[1]Leakage Tree Data'!AC15,"")</f>
        <v>-12987639.8187714</v>
      </c>
      <c s="72">
        <f>IF('[1]Leakage Tree Data'!AD15&lt;&gt;"",'[1]Leakage Tree Data'!AD15,"")</f>
        <v>-0.979013096716542</v>
      </c>
      <c s="72">
        <f>IF('[1]Leakage Tree Data'!AE15&lt;&gt;"",'[1]Leakage Tree Data'!AE15,"")</f>
      </c>
      <c s="73">
        <f t="shared" si="21"/>
      </c>
      <c s="73">
        <f t="shared" si="22"/>
      </c>
      <c s="73">
        <f t="shared" si="23"/>
      </c>
      <c s="73">
        <f t="shared" si="24"/>
      </c>
      <c s="74">
        <f t="shared" si="25"/>
      </c>
      <c s="74">
        <f t="shared" si="26"/>
      </c>
      <c s="69" t="str">
        <f t="shared" si="0"/>
        <v>Total US - Sams Club</v>
      </c>
      <c s="69" t="str">
        <f t="shared" si="1"/>
        <v>Total US - Club</v>
      </c>
      <c s="77"/>
    </row>
    <row r="117" spans="1:141" ht="15">
      <c r="A11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 t="shared" si="2"/>
      </c>
      <c s="76">
        <f t="shared" si="3"/>
      </c>
      <c s="75">
        <f t="shared" si="4"/>
      </c>
      <c s="76">
        <f t="shared" si="5"/>
      </c>
      <c s="75">
        <f t="shared" si="6"/>
      </c>
      <c s="76">
        <f t="shared" si="7"/>
      </c>
      <c s="75">
        <f t="shared" si="28"/>
      </c>
      <c s="76">
        <f t="shared" si="8"/>
      </c>
      <c s="75">
        <f t="shared" si="29"/>
      </c>
      <c s="76">
        <f t="shared" si="9"/>
      </c>
      <c s="75">
        <f t="shared" si="10"/>
        <v>1749131.12713623</v>
      </c>
      <c s="76">
        <f t="shared" si="11"/>
        <v>4</v>
      </c>
      <c s="75">
        <f t="shared" si="12"/>
      </c>
      <c s="76">
        <f t="shared" si="13"/>
      </c>
      <c s="75">
        <f t="shared" si="14"/>
      </c>
      <c s="76">
        <f t="shared" si="15"/>
      </c>
      <c s="75">
        <f t="shared" si="16"/>
      </c>
      <c s="76">
        <f t="shared" si="17"/>
      </c>
      <c s="75">
        <f t="shared" si="30"/>
      </c>
      <c s="76">
        <f t="shared" si="18"/>
      </c>
      <c s="65" t="str">
        <f t="shared" si="19"/>
        <v>Convenience-Gas</v>
      </c>
      <c s="65" t="str">
        <f t="shared" si="20"/>
        <v>Convenience-Gas</v>
      </c>
      <c s="72" t="str">
        <f>IF('[1]Leakage Tree Data'!A16&lt;&gt;"",'[1]Leakage Tree Data'!A16,"")</f>
        <v>Total US - Convenience-Gas</v>
      </c>
      <c s="72" t="str">
        <f>IF('[1]Leakage Tree Data'!B16&lt;&gt;"",'[1]Leakage Tree Data'!B16,"")</f>
        <v>Total US - Convenience-Gas</v>
      </c>
      <c s="72">
        <f>IF('[1]Leakage Tree Data'!C16&lt;&gt;"",'[1]Leakage Tree Data'!C16,"")</f>
        <v>121171760.292236</v>
      </c>
      <c s="72">
        <f>IF('[1]Leakage Tree Data'!D16&lt;&gt;"",'[1]Leakage Tree Data'!D16,"")</f>
        <v>40270059.2756653</v>
      </c>
      <c s="72">
        <f>IF('[1]Leakage Tree Data'!E16&lt;&gt;"",'[1]Leakage Tree Data'!E16,"")</f>
        <v>33.2338650346779</v>
      </c>
      <c s="72">
        <f>IF('[1]Leakage Tree Data'!F16&lt;&gt;"",'[1]Leakage Tree Data'!F16,"")</f>
        <v>80901701.016571</v>
      </c>
      <c s="72">
        <f>IF('[1]Leakage Tree Data'!G16&lt;&gt;"",'[1]Leakage Tree Data'!G16,"")</f>
        <v>66.7661349653221</v>
      </c>
      <c s="72">
        <f>IF('[1]Leakage Tree Data'!H16&lt;&gt;"",'[1]Leakage Tree Data'!H16,"")</f>
        <v>61518209.9918823</v>
      </c>
      <c s="72" t="str">
        <f>IF('[1]Leakage Tree Data'!I16&lt;&gt;"",'[1]Leakage Tree Data'!I16,"")</f>
        <v>Convenience-Gas</v>
      </c>
      <c s="72">
        <f>IF('[1]Leakage Tree Data'!J16&lt;&gt;"",'[1]Leakage Tree Data'!J16,"")</f>
        <v>99.6400697654541</v>
      </c>
      <c s="72">
        <f>IF('[1]Leakage Tree Data'!K16&lt;&gt;"",'[1]Leakage Tree Data'!K16,"")</f>
        <v>221422.637512207</v>
      </c>
      <c s="72">
        <f>IF('[1]Leakage Tree Data'!L16&lt;&gt;"",'[1]Leakage Tree Data'!L16,"")</f>
      </c>
      <c s="72">
        <f>IF('[1]Leakage Tree Data'!M16&lt;&gt;"",'[1]Leakage Tree Data'!M16,"")</f>
        <v>1749131.12713623</v>
      </c>
      <c s="72">
        <f>IF('[1]Leakage Tree Data'!N16&lt;&gt;"",'[1]Leakage Tree Data'!N16,"")</f>
      </c>
      <c s="72">
        <f>IF('[1]Leakage Tree Data'!O16&lt;&gt;"",'[1]Leakage Tree Data'!O16,"")</f>
        <v>1.28441904241364</v>
      </c>
      <c s="72">
        <f>IF('[1]Leakage Tree Data'!P16&lt;&gt;"",'[1]Leakage Tree Data'!P16,"")</f>
        <v>4097979.96039629</v>
      </c>
      <c s="72">
        <f>IF('[1]Leakage Tree Data'!Q16&lt;&gt;"",'[1]Leakage Tree Data'!Q16,"")</f>
      </c>
      <c s="72">
        <f>IF('[1]Leakage Tree Data'!R16&lt;&gt;"",'[1]Leakage Tree Data'!R16,"")</f>
        <v>1017625.85098267</v>
      </c>
      <c s="72">
        <f>IF('[1]Leakage Tree Data'!S16&lt;&gt;"",'[1]Leakage Tree Data'!S16,"")</f>
        <v>-1110224.92175293</v>
      </c>
      <c s="72">
        <f>IF('[1]Leakage Tree Data'!T16&lt;&gt;"",'[1]Leakage Tree Data'!T16,"")</f>
        <v>-1.20546940008516</v>
      </c>
      <c s="72">
        <f>IF('[1]Leakage Tree Data'!U16&lt;&gt;"",'[1]Leakage Tree Data'!U16,"")</f>
        <v>2127850.7727356</v>
      </c>
      <c s="72">
        <f>IF('[1]Leakage Tree Data'!V16&lt;&gt;"",'[1]Leakage Tree Data'!V16,"")</f>
        <v>1.20546940008515</v>
      </c>
      <c s="72">
        <f>IF('[1]Leakage Tree Data'!W16&lt;&gt;"",'[1]Leakage Tree Data'!W16,"")</f>
        <v>-1855949.2237854</v>
      </c>
      <c s="72">
        <f>IF('[1]Leakage Tree Data'!X16&lt;&gt;"",'[1]Leakage Tree Data'!X16,"")</f>
      </c>
      <c s="72">
        <f>IF('[1]Leakage Tree Data'!Y16&lt;&gt;"",'[1]Leakage Tree Data'!Y16,"")</f>
        <v>0.0660578936335696</v>
      </c>
      <c s="72">
        <f>IF('[1]Leakage Tree Data'!Z16&lt;&gt;"",'[1]Leakage Tree Data'!Z16,"")</f>
        <v>-48543.7570800781</v>
      </c>
      <c s="72">
        <f>IF('[1]Leakage Tree Data'!AA16&lt;&gt;"",'[1]Leakage Tree Data'!AA16,"")</f>
      </c>
      <c s="72">
        <f>IF('[1]Leakage Tree Data'!AB16&lt;&gt;"",'[1]Leakage Tree Data'!AB16,"")</f>
        <v>-87018.6100444794</v>
      </c>
      <c s="72">
        <f>IF('[1]Leakage Tree Data'!AC16&lt;&gt;"",'[1]Leakage Tree Data'!AC16,"")</f>
      </c>
      <c s="72">
        <f>IF('[1]Leakage Tree Data'!AD16&lt;&gt;"",'[1]Leakage Tree Data'!AD16,"")</f>
        <v>-0.244689680141233</v>
      </c>
      <c s="72">
        <f>IF('[1]Leakage Tree Data'!AE16&lt;&gt;"",'[1]Leakage Tree Data'!AE16,"")</f>
      </c>
      <c s="73">
        <f t="shared" si="21"/>
        <v>1749131.12713623</v>
      </c>
      <c s="73">
        <f t="shared" si="22"/>
      </c>
      <c s="73">
        <f t="shared" si="23"/>
        <v>-87018.6100444794</v>
      </c>
      <c s="73">
        <f t="shared" si="24"/>
      </c>
      <c s="74">
        <f t="shared" si="25"/>
        <v>-1.25608672825114E-06</v>
      </c>
      <c s="74">
        <f t="shared" si="26"/>
      </c>
      <c s="69" t="str">
        <f t="shared" si="0"/>
        <v>Total US - Convenience-Gas</v>
      </c>
      <c s="69" t="str">
        <f t="shared" si="1"/>
        <v>Total US - Convenience-Gas</v>
      </c>
      <c s="77"/>
    </row>
    <row r="118" spans="1:141" ht="15">
      <c r="A11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 t="shared" si="2"/>
        <v>27101147.6429348</v>
      </c>
      <c s="76">
        <f t="shared" si="3"/>
        <v>4</v>
      </c>
      <c s="75">
        <f t="shared" si="4"/>
      </c>
      <c s="76">
        <f t="shared" si="5"/>
      </c>
      <c s="75">
        <f t="shared" si="6"/>
      </c>
      <c s="76">
        <f t="shared" si="7"/>
      </c>
      <c s="75">
        <f t="shared" si="28"/>
      </c>
      <c s="76">
        <f t="shared" si="8"/>
      </c>
      <c s="75">
        <f t="shared" si="29"/>
      </c>
      <c s="76">
        <f t="shared" si="9"/>
      </c>
      <c s="75">
        <f t="shared" si="10"/>
        <v>118574240.317994</v>
      </c>
      <c s="76">
        <f t="shared" si="11"/>
        <v>4</v>
      </c>
      <c s="75">
        <f t="shared" si="12"/>
      </c>
      <c s="76">
        <f t="shared" si="13"/>
      </c>
      <c s="75">
        <f t="shared" si="14"/>
      </c>
      <c s="76">
        <f t="shared" si="15"/>
      </c>
      <c s="75">
        <f t="shared" si="16"/>
      </c>
      <c s="76">
        <f t="shared" si="17"/>
      </c>
      <c s="75">
        <f t="shared" si="30"/>
      </c>
      <c s="76">
        <f t="shared" si="18"/>
      </c>
      <c s="65" t="str">
        <f t="shared" si="19"/>
        <v>Dollar</v>
      </c>
      <c s="65" t="str">
        <f t="shared" si="20"/>
        <v>Dollar</v>
      </c>
      <c s="72" t="str">
        <f>IF('[1]Leakage Tree Data'!A17&lt;&gt;"",'[1]Leakage Tree Data'!A17,"")</f>
        <v>Total US - Dollar</v>
      </c>
      <c s="72" t="str">
        <f>IF('[1]Leakage Tree Data'!B17&lt;&gt;"",'[1]Leakage Tree Data'!B17,"")</f>
        <v>Total US - Dollar</v>
      </c>
      <c s="72">
        <f>IF('[1]Leakage Tree Data'!C17&lt;&gt;"",'[1]Leakage Tree Data'!C17,"")</f>
        <v>121171760.292236</v>
      </c>
      <c s="72">
        <f>IF('[1]Leakage Tree Data'!D17&lt;&gt;"",'[1]Leakage Tree Data'!D17,"")</f>
        <v>78403198.1786499</v>
      </c>
      <c s="72">
        <f>IF('[1]Leakage Tree Data'!E17&lt;&gt;"",'[1]Leakage Tree Data'!E17,"")</f>
        <v>64.7041835404229</v>
      </c>
      <c s="72">
        <f>IF('[1]Leakage Tree Data'!F17&lt;&gt;"",'[1]Leakage Tree Data'!F17,"")</f>
        <v>42768562.1135864</v>
      </c>
      <c s="72">
        <f>IF('[1]Leakage Tree Data'!G17&lt;&gt;"",'[1]Leakage Tree Data'!G17,"")</f>
        <v>35.2958164595771</v>
      </c>
      <c s="72">
        <f>IF('[1]Leakage Tree Data'!H17&lt;&gt;"",'[1]Leakage Tree Data'!H17,"")</f>
        <v>61518209.9918823</v>
      </c>
      <c s="72" t="str">
        <f>IF('[1]Leakage Tree Data'!I17&lt;&gt;"",'[1]Leakage Tree Data'!I17,"")</f>
        <v>Dollar</v>
      </c>
      <c s="72">
        <f>IF('[1]Leakage Tree Data'!J17&lt;&gt;"",'[1]Leakage Tree Data'!J17,"")</f>
        <v>83.4657380486263</v>
      </c>
      <c s="72">
        <f>IF('[1]Leakage Tree Data'!K17&lt;&gt;"",'[1]Leakage Tree Data'!K17,"")</f>
        <v>10171581.987854</v>
      </c>
      <c s="72">
        <f>IF('[1]Leakage Tree Data'!L17&lt;&gt;"",'[1]Leakage Tree Data'!L17,"")</f>
        <v>27101147.6429348</v>
      </c>
      <c s="72">
        <f>IF('[1]Leakage Tree Data'!M17&lt;&gt;"",'[1]Leakage Tree Data'!M17,"")</f>
        <v>118574240.317994</v>
      </c>
      <c s="72">
        <f>IF('[1]Leakage Tree Data'!N17&lt;&gt;"",'[1]Leakage Tree Data'!N17,"")</f>
        <v>27101147.6429348</v>
      </c>
      <c s="72">
        <f>IF('[1]Leakage Tree Data'!O17&lt;&gt;"",'[1]Leakage Tree Data'!O17,"")</f>
        <v>29.9296720642789</v>
      </c>
      <c s="72">
        <f>IF('[1]Leakage Tree Data'!P17&lt;&gt;"",'[1]Leakage Tree Data'!P17,"")</f>
        <v>10548756.8955577</v>
      </c>
      <c s="72">
        <f>IF('[1]Leakage Tree Data'!Q17&lt;&gt;"",'[1]Leakage Tree Data'!Q17,"")</f>
      </c>
      <c s="72">
        <f>IF('[1]Leakage Tree Data'!R17&lt;&gt;"",'[1]Leakage Tree Data'!R17,"")</f>
        <v>1017625.85098267</v>
      </c>
      <c s="72">
        <f>IF('[1]Leakage Tree Data'!S17&lt;&gt;"",'[1]Leakage Tree Data'!S17,"")</f>
        <v>505171.233154297</v>
      </c>
      <c s="72">
        <f>IF('[1]Leakage Tree Data'!T17&lt;&gt;"",'[1]Leakage Tree Data'!T17,"")</f>
        <v>-0.127565535662228</v>
      </c>
      <c s="72">
        <f>IF('[1]Leakage Tree Data'!U17&lt;&gt;"",'[1]Leakage Tree Data'!U17,"")</f>
        <v>512454.617828369</v>
      </c>
      <c s="72">
        <f>IF('[1]Leakage Tree Data'!V17&lt;&gt;"",'[1]Leakage Tree Data'!V17,"")</f>
        <v>0.127565535662228</v>
      </c>
      <c s="72">
        <f>IF('[1]Leakage Tree Data'!W17&lt;&gt;"",'[1]Leakage Tree Data'!W17,"")</f>
        <v>-1855949.2237854</v>
      </c>
      <c s="72">
        <f>IF('[1]Leakage Tree Data'!X17&lt;&gt;"",'[1]Leakage Tree Data'!X17,"")</f>
      </c>
      <c s="72">
        <f>IF('[1]Leakage Tree Data'!Y17&lt;&gt;"",'[1]Leakage Tree Data'!Y17,"")</f>
        <v>-0.397488347905764</v>
      </c>
      <c s="72">
        <f>IF('[1]Leakage Tree Data'!Z17&lt;&gt;"",'[1]Leakage Tree Data'!Z17,"")</f>
        <v>-54962.6078796387</v>
      </c>
      <c s="72">
        <f>IF('[1]Leakage Tree Data'!AA17&lt;&gt;"",'[1]Leakage Tree Data'!AA17,"")</f>
        <v>-3309982.44059181</v>
      </c>
      <c s="72">
        <f>IF('[1]Leakage Tree Data'!AB17&lt;&gt;"",'[1]Leakage Tree Data'!AB17,"")</f>
        <v>-8054727.41242504</v>
      </c>
      <c s="72">
        <f>IF('[1]Leakage Tree Data'!AC17&lt;&gt;"",'[1]Leakage Tree Data'!AC17,"")</f>
        <v>-3309982.44059181</v>
      </c>
      <c s="72">
        <f>IF('[1]Leakage Tree Data'!AD17&lt;&gt;"",'[1]Leakage Tree Data'!AD17,"")</f>
        <v>-0.589955134021743</v>
      </c>
      <c s="72">
        <f>IF('[1]Leakage Tree Data'!AE17&lt;&gt;"",'[1]Leakage Tree Data'!AE17,"")</f>
      </c>
      <c s="73">
        <f t="shared" si="21"/>
        <v>118574240.317994</v>
      </c>
      <c s="73">
        <f t="shared" si="22"/>
        <v>27101147.6429348</v>
      </c>
      <c s="73">
        <f t="shared" si="23"/>
        <v>-8054727.41242504</v>
      </c>
      <c s="73">
        <f t="shared" si="24"/>
        <v>-3309982.44059181</v>
      </c>
      <c s="74">
        <f t="shared" si="25"/>
        <v>-0.00122402997393956</v>
      </c>
      <c s="74">
        <f t="shared" si="26"/>
        <v>0.00221907200316913</v>
      </c>
      <c s="69" t="str">
        <f t="shared" si="0"/>
        <v>Total US - Dollar</v>
      </c>
      <c s="69" t="str">
        <f t="shared" si="1"/>
        <v>Total US - Dollar</v>
      </c>
      <c s="77"/>
    </row>
    <row r="119" spans="1:141" ht="15">
      <c r="A11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 t="shared" si="2"/>
      </c>
      <c s="76">
        <f t="shared" si="3"/>
      </c>
      <c s="75">
        <f t="shared" si="4"/>
      </c>
      <c s="76">
        <f t="shared" si="5"/>
      </c>
      <c s="75">
        <f t="shared" si="6"/>
      </c>
      <c s="76">
        <f t="shared" si="7"/>
      </c>
      <c s="75">
        <f t="shared" si="28"/>
      </c>
      <c s="76">
        <f t="shared" si="8"/>
      </c>
      <c s="75">
        <f t="shared" si="29"/>
      </c>
      <c s="76">
        <f t="shared" si="9"/>
      </c>
      <c s="75">
        <f t="shared" si="10"/>
      </c>
      <c s="76">
        <f t="shared" si="11"/>
      </c>
      <c s="75">
        <f t="shared" si="12"/>
      </c>
      <c s="76">
        <f t="shared" si="13"/>
      </c>
      <c s="75">
        <f t="shared" si="14"/>
      </c>
      <c s="76">
        <f t="shared" si="15"/>
      </c>
      <c s="75">
        <f t="shared" si="16"/>
      </c>
      <c s="76">
        <f t="shared" si="17"/>
      </c>
      <c s="75">
        <f t="shared" si="30"/>
        <v>1373945.76435852</v>
      </c>
      <c s="76">
        <f t="shared" si="18"/>
        <v>18</v>
      </c>
      <c s="65" t="str">
        <f t="shared" si="19"/>
        <v>Deals Dollar Store</v>
      </c>
      <c s="65" t="str">
        <f t="shared" si="20"/>
        <v>Dollar</v>
      </c>
      <c s="72" t="str">
        <f>IF('[1]Leakage Tree Data'!A18&lt;&gt;"",'[1]Leakage Tree Data'!A18,"")</f>
        <v>Total US - Deals Dollar Store</v>
      </c>
      <c s="72" t="str">
        <f>IF('[1]Leakage Tree Data'!B18&lt;&gt;"",'[1]Leakage Tree Data'!B18,"")</f>
        <v>Total US - Dollar</v>
      </c>
      <c s="72">
        <f>IF('[1]Leakage Tree Data'!C18&lt;&gt;"",'[1]Leakage Tree Data'!C18,"")</f>
        <v>121171760.292236</v>
      </c>
      <c s="72">
        <f>IF('[1]Leakage Tree Data'!D18&lt;&gt;"",'[1]Leakage Tree Data'!D18,"")</f>
        <v>2813408.28234863</v>
      </c>
      <c s="72">
        <f>IF('[1]Leakage Tree Data'!E18&lt;&gt;"",'[1]Leakage Tree Data'!E18,"")</f>
        <v>2.32183495194209</v>
      </c>
      <c s="72">
        <f>IF('[1]Leakage Tree Data'!F18&lt;&gt;"",'[1]Leakage Tree Data'!F18,"")</f>
        <v>118358352.009888</v>
      </c>
      <c s="72">
        <f>IF('[1]Leakage Tree Data'!G18&lt;&gt;"",'[1]Leakage Tree Data'!G18,"")</f>
        <v>97.6781650480579</v>
      </c>
      <c s="72">
        <f>IF('[1]Leakage Tree Data'!H18&lt;&gt;"",'[1]Leakage Tree Data'!H18,"")</f>
        <v>61518209.9918823</v>
      </c>
      <c s="72" t="str">
        <f>IF('[1]Leakage Tree Data'!I18&lt;&gt;"",'[1]Leakage Tree Data'!I18,"")</f>
        <v>Dollar</v>
      </c>
      <c s="72">
        <f>IF('[1]Leakage Tree Data'!J18&lt;&gt;"",'[1]Leakage Tree Data'!J18,"")</f>
        <v>99.717800108221</v>
      </c>
      <c s="72">
        <f>IF('[1]Leakage Tree Data'!K18&lt;&gt;"",'[1]Leakage Tree Data'!K18,"")</f>
        <v>173604.322021484</v>
      </c>
      <c s="72">
        <f>IF('[1]Leakage Tree Data'!L18&lt;&gt;"",'[1]Leakage Tree Data'!L18,"")</f>
      </c>
      <c s="72">
        <f>IF('[1]Leakage Tree Data'!M18&lt;&gt;"",'[1]Leakage Tree Data'!M18,"")</f>
        <v>1373945.76435852</v>
      </c>
      <c s="72">
        <f>IF('[1]Leakage Tree Data'!N18&lt;&gt;"",'[1]Leakage Tree Data'!N18,"")</f>
      </c>
      <c s="72">
        <f>IF('[1]Leakage Tree Data'!O18&lt;&gt;"",'[1]Leakage Tree Data'!O18,"")</f>
        <v>10.8788879221134</v>
      </c>
      <c s="72">
        <f>IF('[1]Leakage Tree Data'!P18&lt;&gt;"",'[1]Leakage Tree Data'!P18,"")</f>
        <v>180958.162127344</v>
      </c>
      <c s="72">
        <f>IF('[1]Leakage Tree Data'!Q18&lt;&gt;"",'[1]Leakage Tree Data'!Q18,"")</f>
      </c>
      <c s="72">
        <f>IF('[1]Leakage Tree Data'!R18&lt;&gt;"",'[1]Leakage Tree Data'!R18,"")</f>
        <v>1017625.85098267</v>
      </c>
      <c s="72">
        <f>IF('[1]Leakage Tree Data'!S18&lt;&gt;"",'[1]Leakage Tree Data'!S18,"")</f>
        <v>-157296.78503418</v>
      </c>
      <c s="72">
        <f>IF('[1]Leakage Tree Data'!T18&lt;&gt;"",'[1]Leakage Tree Data'!T18,"")</f>
        <v>-0.150576905708352</v>
      </c>
      <c s="72">
        <f>IF('[1]Leakage Tree Data'!U18&lt;&gt;"",'[1]Leakage Tree Data'!U18,"")</f>
        <v>1174922.63601685</v>
      </c>
      <c s="72">
        <f>IF('[1]Leakage Tree Data'!V18&lt;&gt;"",'[1]Leakage Tree Data'!V18,"")</f>
        <v>0.150576905708348</v>
      </c>
      <c s="72">
        <f>IF('[1]Leakage Tree Data'!W18&lt;&gt;"",'[1]Leakage Tree Data'!W18,"")</f>
        <v>-1855949.2237854</v>
      </c>
      <c s="72">
        <f>IF('[1]Leakage Tree Data'!X18&lt;&gt;"",'[1]Leakage Tree Data'!X18,"")</f>
      </c>
      <c s="72">
        <f>IF('[1]Leakage Tree Data'!Y18&lt;&gt;"",'[1]Leakage Tree Data'!Y18,"")</f>
        <v>0.0195322569514502</v>
      </c>
      <c s="72">
        <f>IF('[1]Leakage Tree Data'!Z18&lt;&gt;"",'[1]Leakage Tree Data'!Z18,"")</f>
        <v>-17615.8903198242</v>
      </c>
      <c s="72">
        <f>IF('[1]Leakage Tree Data'!AA18&lt;&gt;"",'[1]Leakage Tree Data'!AA18,"")</f>
      </c>
      <c s="72">
        <f>IF('[1]Leakage Tree Data'!AB18&lt;&gt;"",'[1]Leakage Tree Data'!AB18,"")</f>
        <v>98119.960647583</v>
      </c>
      <c s="72">
        <f>IF('[1]Leakage Tree Data'!AC18&lt;&gt;"",'[1]Leakage Tree Data'!AC18,"")</f>
      </c>
      <c s="72">
        <f>IF('[1]Leakage Tree Data'!AD18&lt;&gt;"",'[1]Leakage Tree Data'!AD18,"")</f>
        <v>-1.47437306324709</v>
      </c>
      <c s="72">
        <f>IF('[1]Leakage Tree Data'!AE18&lt;&gt;"",'[1]Leakage Tree Data'!AE18,"")</f>
      </c>
      <c s="73">
        <f t="shared" si="21"/>
      </c>
      <c s="73">
        <f t="shared" si="22"/>
      </c>
      <c s="73">
        <f t="shared" si="23"/>
      </c>
      <c s="73">
        <f t="shared" si="24"/>
      </c>
      <c s="74">
        <f t="shared" si="25"/>
      </c>
      <c s="74">
        <f t="shared" si="26"/>
      </c>
      <c s="69" t="str">
        <f t="shared" si="0"/>
        <v>Total US - Deals Dollar Store</v>
      </c>
      <c s="69" t="str">
        <f t="shared" si="1"/>
        <v>Total US - Dollar</v>
      </c>
      <c s="77"/>
    </row>
    <row r="120" spans="1:141" ht="15">
      <c r="A12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 t="shared" si="2"/>
      </c>
      <c s="76">
        <f t="shared" si="3"/>
      </c>
      <c s="75">
        <f t="shared" si="4"/>
      </c>
      <c s="76">
        <f t="shared" si="5"/>
      </c>
      <c s="75">
        <f t="shared" si="6"/>
      </c>
      <c s="76">
        <f t="shared" si="7"/>
      </c>
      <c s="75">
        <f t="shared" si="28"/>
      </c>
      <c s="76">
        <f t="shared" si="8"/>
      </c>
      <c s="75">
        <f t="shared" si="29"/>
        <v>11256588.6043549</v>
      </c>
      <c s="76">
        <f t="shared" si="9"/>
        <v>3</v>
      </c>
      <c s="75">
        <f t="shared" si="10"/>
      </c>
      <c s="76">
        <f t="shared" si="11"/>
      </c>
      <c s="75">
        <f t="shared" si="12"/>
      </c>
      <c s="76">
        <f t="shared" si="13"/>
      </c>
      <c s="75">
        <f t="shared" si="14"/>
      </c>
      <c s="76">
        <f t="shared" si="15"/>
      </c>
      <c s="75">
        <f t="shared" si="16"/>
      </c>
      <c s="76">
        <f t="shared" si="17"/>
      </c>
      <c s="75">
        <f t="shared" si="30"/>
        <v>44822145.5847273</v>
      </c>
      <c s="76">
        <f t="shared" si="18"/>
        <v>2</v>
      </c>
      <c s="65" t="str">
        <f t="shared" si="19"/>
        <v>Doll Gen / Doll Gen Mkt</v>
      </c>
      <c s="65" t="str">
        <f t="shared" si="20"/>
        <v>Dollar</v>
      </c>
      <c s="72" t="str">
        <f>IF('[1]Leakage Tree Data'!A19&lt;&gt;"",'[1]Leakage Tree Data'!A19,"")</f>
        <v>Total US - Doll Gen / Doll Gen Mkt</v>
      </c>
      <c s="72" t="str">
        <f>IF('[1]Leakage Tree Data'!B19&lt;&gt;"",'[1]Leakage Tree Data'!B19,"")</f>
        <v>Total US - Dollar</v>
      </c>
      <c s="72">
        <f>IF('[1]Leakage Tree Data'!C19&lt;&gt;"",'[1]Leakage Tree Data'!C19,"")</f>
        <v>121171760.292236</v>
      </c>
      <c s="72">
        <f>IF('[1]Leakage Tree Data'!D19&lt;&gt;"",'[1]Leakage Tree Data'!D19,"")</f>
        <v>34359367.4581299</v>
      </c>
      <c s="72">
        <f>IF('[1]Leakage Tree Data'!E19&lt;&gt;"",'[1]Leakage Tree Data'!E19,"")</f>
        <v>28.355920038847</v>
      </c>
      <c s="72">
        <f>IF('[1]Leakage Tree Data'!F19&lt;&gt;"",'[1]Leakage Tree Data'!F19,"")</f>
        <v>86812392.8341064</v>
      </c>
      <c s="72">
        <f>IF('[1]Leakage Tree Data'!G19&lt;&gt;"",'[1]Leakage Tree Data'!G19,"")</f>
        <v>71.644079961153</v>
      </c>
      <c s="72">
        <f>IF('[1]Leakage Tree Data'!H19&lt;&gt;"",'[1]Leakage Tree Data'!H19,"")</f>
        <v>61518209.9918823</v>
      </c>
      <c s="72" t="str">
        <f>IF('[1]Leakage Tree Data'!I19&lt;&gt;"",'[1]Leakage Tree Data'!I19,"")</f>
        <v>Dollar</v>
      </c>
      <c s="72">
        <f>IF('[1]Leakage Tree Data'!J19&lt;&gt;"",'[1]Leakage Tree Data'!J19,"")</f>
        <v>93.3024991728619</v>
      </c>
      <c s="72">
        <f>IF('[1]Leakage Tree Data'!K19&lt;&gt;"",'[1]Leakage Tree Data'!K19,"")</f>
        <v>4120182.62304688</v>
      </c>
      <c s="72">
        <f>IF('[1]Leakage Tree Data'!L19&lt;&gt;"",'[1]Leakage Tree Data'!L19,"")</f>
        <v>11256588.6043549</v>
      </c>
      <c s="72">
        <f>IF('[1]Leakage Tree Data'!M19&lt;&gt;"",'[1]Leakage Tree Data'!M19,"")</f>
        <v>44822145.5847273</v>
      </c>
      <c s="72">
        <f>IF('[1]Leakage Tree Data'!N19&lt;&gt;"",'[1]Leakage Tree Data'!N19,"")</f>
        <v>11256588.6043549</v>
      </c>
      <c s="72">
        <f>IF('[1]Leakage Tree Data'!O19&lt;&gt;"",'[1]Leakage Tree Data'!O19,"")</f>
        <v>31.7018037894759</v>
      </c>
      <c s="72">
        <f>IF('[1]Leakage Tree Data'!P19&lt;&gt;"",'[1]Leakage Tree Data'!P19,"")</f>
        <v>5338875.12607305</v>
      </c>
      <c s="72">
        <f>IF('[1]Leakage Tree Data'!Q19&lt;&gt;"",'[1]Leakage Tree Data'!Q19,"")</f>
      </c>
      <c s="72">
        <f>IF('[1]Leakage Tree Data'!R19&lt;&gt;"",'[1]Leakage Tree Data'!R19,"")</f>
        <v>1017625.85098267</v>
      </c>
      <c s="72">
        <f>IF('[1]Leakage Tree Data'!S19&lt;&gt;"",'[1]Leakage Tree Data'!S19,"")</f>
        <v>353762.027618408</v>
      </c>
      <c s="72">
        <f>IF('[1]Leakage Tree Data'!T19&lt;&gt;"",'[1]Leakage Tree Data'!T19,"")</f>
        <v>0.0542676748680755</v>
      </c>
      <c s="72">
        <f>IF('[1]Leakage Tree Data'!U19&lt;&gt;"",'[1]Leakage Tree Data'!U19,"")</f>
        <v>663863.823364258</v>
      </c>
      <c s="72">
        <f>IF('[1]Leakage Tree Data'!V19&lt;&gt;"",'[1]Leakage Tree Data'!V19,"")</f>
        <v>-0.0542676748680719</v>
      </c>
      <c s="72">
        <f>IF('[1]Leakage Tree Data'!W19&lt;&gt;"",'[1]Leakage Tree Data'!W19,"")</f>
        <v>-1855949.2237854</v>
      </c>
      <c s="72">
        <f>IF('[1]Leakage Tree Data'!X19&lt;&gt;"",'[1]Leakage Tree Data'!X19,"")</f>
      </c>
      <c s="72">
        <f>IF('[1]Leakage Tree Data'!Y19&lt;&gt;"",'[1]Leakage Tree Data'!Y19,"")</f>
        <v>0.0399497607713784</v>
      </c>
      <c s="72">
        <f>IF('[1]Leakage Tree Data'!Z19&lt;&gt;"",'[1]Leakage Tree Data'!Z19,"")</f>
        <v>-149620.039611816</v>
      </c>
      <c s="72">
        <f>IF('[1]Leakage Tree Data'!AA19&lt;&gt;"",'[1]Leakage Tree Data'!AA19,"")</f>
        <v>-1950415.36185837</v>
      </c>
      <c s="72">
        <f>IF('[1]Leakage Tree Data'!AB19&lt;&gt;"",'[1]Leakage Tree Data'!AB19,"")</f>
        <v>-4112114.4050703</v>
      </c>
      <c s="72">
        <f>IF('[1]Leakage Tree Data'!AC19&lt;&gt;"",'[1]Leakage Tree Data'!AC19,"")</f>
        <v>-1950415.36185837</v>
      </c>
      <c s="72">
        <f>IF('[1]Leakage Tree Data'!AD19&lt;&gt;"",'[1]Leakage Tree Data'!AD19,"")</f>
        <v>-1.33633850243688</v>
      </c>
      <c s="72">
        <f>IF('[1]Leakage Tree Data'!AE19&lt;&gt;"",'[1]Leakage Tree Data'!AE19,"")</f>
      </c>
      <c s="73">
        <f t="shared" si="21"/>
      </c>
      <c s="73">
        <f t="shared" si="22"/>
      </c>
      <c s="73">
        <f t="shared" si="23"/>
      </c>
      <c s="73">
        <f t="shared" si="24"/>
      </c>
      <c s="74">
        <f t="shared" si="25"/>
      </c>
      <c s="74">
        <f t="shared" si="26"/>
      </c>
      <c s="69" t="str">
        <f t="shared" si="0"/>
        <v>Total US - Doll Gen / Doll Gen Mkt</v>
      </c>
      <c s="69" t="str">
        <f t="shared" si="1"/>
        <v>Total US - Dollar</v>
      </c>
      <c s="77"/>
    </row>
    <row r="121" spans="1:141" ht="15">
      <c r="A12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 t="shared" si="2"/>
      </c>
      <c s="76">
        <f t="shared" si="3"/>
      </c>
      <c s="75">
        <f t="shared" si="4"/>
      </c>
      <c s="76">
        <f t="shared" si="5"/>
      </c>
      <c s="75">
        <f t="shared" si="6"/>
      </c>
      <c s="76">
        <f t="shared" si="7"/>
      </c>
      <c s="75">
        <f t="shared" si="28"/>
      </c>
      <c s="76">
        <f t="shared" si="8"/>
      </c>
      <c s="75">
        <f t="shared" si="29"/>
        <v>4997860.17578888</v>
      </c>
      <c s="76">
        <f t="shared" si="9"/>
        <v>8</v>
      </c>
      <c s="75">
        <f t="shared" si="10"/>
      </c>
      <c s="76">
        <f t="shared" si="11"/>
      </c>
      <c s="75">
        <f t="shared" si="12"/>
      </c>
      <c s="76">
        <f t="shared" si="13"/>
      </c>
      <c s="75">
        <f t="shared" si="14"/>
      </c>
      <c s="76">
        <f t="shared" si="15"/>
      </c>
      <c s="75">
        <f t="shared" si="16"/>
      </c>
      <c s="76">
        <f t="shared" si="17"/>
      </c>
      <c s="75">
        <f t="shared" si="30"/>
        <v>26015682.6169662</v>
      </c>
      <c s="76">
        <f t="shared" si="18"/>
        <v>5</v>
      </c>
      <c s="65" t="str">
        <f t="shared" si="19"/>
        <v>Dollar Tree</v>
      </c>
      <c s="65" t="str">
        <f t="shared" si="20"/>
        <v>Dollar</v>
      </c>
      <c s="72" t="str">
        <f>IF('[1]Leakage Tree Data'!A20&lt;&gt;"",'[1]Leakage Tree Data'!A20,"")</f>
        <v>Total US - Dollar Tree</v>
      </c>
      <c s="72" t="str">
        <f>IF('[1]Leakage Tree Data'!B20&lt;&gt;"",'[1]Leakage Tree Data'!B20,"")</f>
        <v>Total US - Dollar</v>
      </c>
      <c s="72">
        <f>IF('[1]Leakage Tree Data'!C20&lt;&gt;"",'[1]Leakage Tree Data'!C20,"")</f>
        <v>121171760.292236</v>
      </c>
      <c s="72">
        <f>IF('[1]Leakage Tree Data'!D20&lt;&gt;"",'[1]Leakage Tree Data'!D20,"")</f>
        <v>55606875.5343628</v>
      </c>
      <c s="72">
        <f>IF('[1]Leakage Tree Data'!E20&lt;&gt;"",'[1]Leakage Tree Data'!E20,"")</f>
        <v>45.89095297473</v>
      </c>
      <c s="72">
        <f>IF('[1]Leakage Tree Data'!F20&lt;&gt;"",'[1]Leakage Tree Data'!F20,"")</f>
        <v>65564884.7578735</v>
      </c>
      <c s="72">
        <f>IF('[1]Leakage Tree Data'!G20&lt;&gt;"",'[1]Leakage Tree Data'!G20,"")</f>
        <v>54.10904702527</v>
      </c>
      <c s="72">
        <f>IF('[1]Leakage Tree Data'!H20&lt;&gt;"",'[1]Leakage Tree Data'!H20,"")</f>
        <v>61518209.9918823</v>
      </c>
      <c s="72" t="str">
        <f>IF('[1]Leakage Tree Data'!I20&lt;&gt;"",'[1]Leakage Tree Data'!I20,"")</f>
        <v>Dollar</v>
      </c>
      <c s="72">
        <f>IF('[1]Leakage Tree Data'!J20&lt;&gt;"",'[1]Leakage Tree Data'!J20,"")</f>
        <v>93.8526057956329</v>
      </c>
      <c s="72">
        <f>IF('[1]Leakage Tree Data'!K20&lt;&gt;"",'[1]Leakage Tree Data'!K20,"")</f>
        <v>3781766.87567139</v>
      </c>
      <c s="72">
        <f>IF('[1]Leakage Tree Data'!L20&lt;&gt;"",'[1]Leakage Tree Data'!L20,"")</f>
        <v>4997860.17578888</v>
      </c>
      <c s="72">
        <f>IF('[1]Leakage Tree Data'!M20&lt;&gt;"",'[1]Leakage Tree Data'!M20,"")</f>
        <v>26015682.6169662</v>
      </c>
      <c s="72">
        <f>IF('[1]Leakage Tree Data'!N20&lt;&gt;"",'[1]Leakage Tree Data'!N20,"")</f>
        <v>4997860.17578888</v>
      </c>
      <c s="72">
        <f>IF('[1]Leakage Tree Data'!O20&lt;&gt;"",'[1]Leakage Tree Data'!O20,"")</f>
        <v>13.9915811095724</v>
      </c>
      <c s="72">
        <f>IF('[1]Leakage Tree Data'!P20&lt;&gt;"",'[1]Leakage Tree Data'!P20,"")</f>
        <v>2168831.56614388</v>
      </c>
      <c s="72">
        <f>IF('[1]Leakage Tree Data'!Q20&lt;&gt;"",'[1]Leakage Tree Data'!Q20,"")</f>
      </c>
      <c s="72">
        <f>IF('[1]Leakage Tree Data'!R20&lt;&gt;"",'[1]Leakage Tree Data'!R20,"")</f>
        <v>1017625.85098267</v>
      </c>
      <c s="72">
        <f>IF('[1]Leakage Tree Data'!S20&lt;&gt;"",'[1]Leakage Tree Data'!S20,"")</f>
        <v>1635122.82543945</v>
      </c>
      <c s="72">
        <f>IF('[1]Leakage Tree Data'!T20&lt;&gt;"",'[1]Leakage Tree Data'!T20,"")</f>
        <v>0.972188456217815</v>
      </c>
      <c s="72">
        <f>IF('[1]Leakage Tree Data'!U20&lt;&gt;"",'[1]Leakage Tree Data'!U20,"")</f>
        <v>-617496.974456787</v>
      </c>
      <c s="72">
        <f>IF('[1]Leakage Tree Data'!V20&lt;&gt;"",'[1]Leakage Tree Data'!V20,"")</f>
        <v>-0.972188456217815</v>
      </c>
      <c s="72">
        <f>IF('[1]Leakage Tree Data'!W20&lt;&gt;"",'[1]Leakage Tree Data'!W20,"")</f>
        <v>-1855949.2237854</v>
      </c>
      <c s="72">
        <f>IF('[1]Leakage Tree Data'!X20&lt;&gt;"",'[1]Leakage Tree Data'!X20,"")</f>
      </c>
      <c s="72">
        <f>IF('[1]Leakage Tree Data'!Y20&lt;&gt;"",'[1]Leakage Tree Data'!Y20,"")</f>
        <v>-0.488155537513876</v>
      </c>
      <c s="72">
        <f>IF('[1]Leakage Tree Data'!Z20&lt;&gt;"",'[1]Leakage Tree Data'!Z20,"")</f>
        <v>195271.952545166</v>
      </c>
      <c s="72">
        <f>IF('[1]Leakage Tree Data'!AA20&lt;&gt;"",'[1]Leakage Tree Data'!AA20,"")</f>
        <v>741427.453025818</v>
      </c>
      <c s="72">
        <f>IF('[1]Leakage Tree Data'!AB20&lt;&gt;"",'[1]Leakage Tree Data'!AB20,"")</f>
        <v>-4095770.45410919</v>
      </c>
      <c s="72">
        <f>IF('[1]Leakage Tree Data'!AC20&lt;&gt;"",'[1]Leakage Tree Data'!AC20,"")</f>
        <v>741427.453025818</v>
      </c>
      <c s="72">
        <f>IF('[1]Leakage Tree Data'!AD20&lt;&gt;"",'[1]Leakage Tree Data'!AD20,"")</f>
        <v>0.460644864713542</v>
      </c>
      <c s="72">
        <f>IF('[1]Leakage Tree Data'!AE20&lt;&gt;"",'[1]Leakage Tree Data'!AE20,"")</f>
      </c>
      <c s="73">
        <f t="shared" si="21"/>
      </c>
      <c s="73">
        <f t="shared" si="22"/>
      </c>
      <c s="73">
        <f t="shared" si="23"/>
      </c>
      <c s="73">
        <f t="shared" si="24"/>
      </c>
      <c s="74">
        <f t="shared" si="25"/>
      </c>
      <c s="74">
        <f t="shared" si="26"/>
      </c>
      <c s="69" t="str">
        <f t="shared" si="0"/>
        <v>Total US - Dollar Tree</v>
      </c>
      <c s="69" t="str">
        <f t="shared" si="1"/>
        <v>Total US - Dollar</v>
      </c>
      <c s="77"/>
    </row>
    <row r="122" spans="1:141" ht="15">
      <c r="A12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 t="shared" si="2"/>
      </c>
      <c s="76">
        <f t="shared" si="3"/>
      </c>
      <c s="75">
        <f t="shared" si="4"/>
      </c>
      <c s="76">
        <f t="shared" si="5"/>
      </c>
      <c s="75">
        <f t="shared" si="6"/>
      </c>
      <c s="76">
        <f t="shared" si="7"/>
      </c>
      <c s="75">
        <f t="shared" si="28"/>
      </c>
      <c s="76">
        <f t="shared" si="8"/>
      </c>
      <c s="75">
        <f t="shared" si="29"/>
        <v>7555923.94790649</v>
      </c>
      <c s="76">
        <f t="shared" si="9"/>
        <v>4</v>
      </c>
      <c s="75">
        <f t="shared" si="10"/>
      </c>
      <c s="76">
        <f t="shared" si="11"/>
      </c>
      <c s="75">
        <f t="shared" si="12"/>
      </c>
      <c s="76">
        <f t="shared" si="13"/>
      </c>
      <c s="75">
        <f t="shared" si="14"/>
      </c>
      <c s="76">
        <f t="shared" si="15"/>
      </c>
      <c s="75">
        <f t="shared" si="16"/>
      </c>
      <c s="76">
        <f t="shared" si="17"/>
      </c>
      <c s="75">
        <f t="shared" si="30"/>
        <v>32826501.4282379</v>
      </c>
      <c s="76">
        <f t="shared" si="18"/>
        <v>4</v>
      </c>
      <c s="65" t="str">
        <f t="shared" si="19"/>
        <v>Family Dollar</v>
      </c>
      <c s="65" t="str">
        <f t="shared" si="20"/>
        <v>Dollar</v>
      </c>
      <c s="72" t="str">
        <f>IF('[1]Leakage Tree Data'!A21&lt;&gt;"",'[1]Leakage Tree Data'!A21,"")</f>
        <v>Total US - Family Dollar</v>
      </c>
      <c s="72" t="str">
        <f>IF('[1]Leakage Tree Data'!B21&lt;&gt;"",'[1]Leakage Tree Data'!B21,"")</f>
        <v>Total US - Dollar</v>
      </c>
      <c s="72">
        <f>IF('[1]Leakage Tree Data'!C21&lt;&gt;"",'[1]Leakage Tree Data'!C21,"")</f>
        <v>121171760.292236</v>
      </c>
      <c s="72">
        <f>IF('[1]Leakage Tree Data'!D21&lt;&gt;"",'[1]Leakage Tree Data'!D21,"")</f>
        <v>21507291.3281555</v>
      </c>
      <c s="72">
        <f>IF('[1]Leakage Tree Data'!E21&lt;&gt;"",'[1]Leakage Tree Data'!E21,"")</f>
        <v>17.7494255066405</v>
      </c>
      <c s="72">
        <f>IF('[1]Leakage Tree Data'!F21&lt;&gt;"",'[1]Leakage Tree Data'!F21,"")</f>
        <v>99664468.9640808</v>
      </c>
      <c s="72">
        <f>IF('[1]Leakage Tree Data'!G21&lt;&gt;"",'[1]Leakage Tree Data'!G21,"")</f>
        <v>82.2505744933595</v>
      </c>
      <c s="72">
        <f>IF('[1]Leakage Tree Data'!H21&lt;&gt;"",'[1]Leakage Tree Data'!H21,"")</f>
        <v>61518209.9918823</v>
      </c>
      <c s="72" t="str">
        <f>IF('[1]Leakage Tree Data'!I21&lt;&gt;"",'[1]Leakage Tree Data'!I21,"")</f>
        <v>Dollar</v>
      </c>
      <c s="72">
        <f>IF('[1]Leakage Tree Data'!J21&lt;&gt;"",'[1]Leakage Tree Data'!J21,"")</f>
        <v>95.6082771162153</v>
      </c>
      <c s="72">
        <f>IF('[1]Leakage Tree Data'!K21&lt;&gt;"",'[1]Leakage Tree Data'!K21,"")</f>
        <v>2701709.3059082</v>
      </c>
      <c s="72">
        <f>IF('[1]Leakage Tree Data'!L21&lt;&gt;"",'[1]Leakage Tree Data'!L21,"")</f>
        <v>7555923.94790649</v>
      </c>
      <c s="72">
        <f>IF('[1]Leakage Tree Data'!M21&lt;&gt;"",'[1]Leakage Tree Data'!M21,"")</f>
        <v>32826501.4282379</v>
      </c>
      <c s="72">
        <f>IF('[1]Leakage Tree Data'!N21&lt;&gt;"",'[1]Leakage Tree Data'!N21,"")</f>
        <v>7555923.94790649</v>
      </c>
      <c s="72">
        <f>IF('[1]Leakage Tree Data'!O21&lt;&gt;"",'[1]Leakage Tree Data'!O21,"")</f>
        <v>29.7851277683145</v>
      </c>
      <c s="72">
        <f>IF('[1]Leakage Tree Data'!P21&lt;&gt;"",'[1]Leakage Tree Data'!P21,"")</f>
        <v>3032496.80981623</v>
      </c>
      <c s="72">
        <f>IF('[1]Leakage Tree Data'!Q21&lt;&gt;"",'[1]Leakage Tree Data'!Q21,"")</f>
      </c>
      <c s="72">
        <f>IF('[1]Leakage Tree Data'!R21&lt;&gt;"",'[1]Leakage Tree Data'!R21,"")</f>
        <v>1017625.85098267</v>
      </c>
      <c s="72">
        <f>IF('[1]Leakage Tree Data'!S21&lt;&gt;"",'[1]Leakage Tree Data'!S21,"")</f>
        <v>-1782013.96429443</v>
      </c>
      <c s="72">
        <f>IF('[1]Leakage Tree Data'!T21&lt;&gt;"",'[1]Leakage Tree Data'!T21,"")</f>
        <v>-1.63343252046853</v>
      </c>
      <c s="72">
        <f>IF('[1]Leakage Tree Data'!U21&lt;&gt;"",'[1]Leakage Tree Data'!U21,"")</f>
        <v>2799639.8152771</v>
      </c>
      <c s="72">
        <f>IF('[1]Leakage Tree Data'!V21&lt;&gt;"",'[1]Leakage Tree Data'!V21,"")</f>
        <v>1.63343252046853</v>
      </c>
      <c s="72">
        <f>IF('[1]Leakage Tree Data'!W21&lt;&gt;"",'[1]Leakage Tree Data'!W21,"")</f>
        <v>-1855949.2237854</v>
      </c>
      <c s="72">
        <f>IF('[1]Leakage Tree Data'!X21&lt;&gt;"",'[1]Leakage Tree Data'!X21,"")</f>
      </c>
      <c s="72">
        <f>IF('[1]Leakage Tree Data'!Y21&lt;&gt;"",'[1]Leakage Tree Data'!Y21,"")</f>
        <v>-0.0423312521209738</v>
      </c>
      <c s="72">
        <f>IF('[1]Leakage Tree Data'!Z21&lt;&gt;"",'[1]Leakage Tree Data'!Z21,"")</f>
        <v>-54681.0716552734</v>
      </c>
      <c s="72">
        <f>IF('[1]Leakage Tree Data'!AA21&lt;&gt;"",'[1]Leakage Tree Data'!AA21,"")</f>
        <v>-1194081.80111694</v>
      </c>
      <c s="72">
        <f>IF('[1]Leakage Tree Data'!AB21&lt;&gt;"",'[1]Leakage Tree Data'!AB21,"")</f>
        <v>728515.619537354</v>
      </c>
      <c s="72">
        <f>IF('[1]Leakage Tree Data'!AC21&lt;&gt;"",'[1]Leakage Tree Data'!AC21,"")</f>
        <v>-1194081.80111694</v>
      </c>
      <c s="72">
        <f>IF('[1]Leakage Tree Data'!AD21&lt;&gt;"",'[1]Leakage Tree Data'!AD21,"")</f>
        <v>1.47982082920601</v>
      </c>
      <c s="72">
        <f>IF('[1]Leakage Tree Data'!AE21&lt;&gt;"",'[1]Leakage Tree Data'!AE21,"")</f>
      </c>
      <c s="73">
        <f t="shared" si="21"/>
      </c>
      <c s="73">
        <f t="shared" si="22"/>
      </c>
      <c s="73">
        <f t="shared" si="23"/>
      </c>
      <c s="73">
        <f t="shared" si="24"/>
      </c>
      <c s="74">
        <f t="shared" si="25"/>
      </c>
      <c s="74">
        <f t="shared" si="26"/>
      </c>
      <c s="69" t="str">
        <f t="shared" si="0"/>
        <v>Total US - Family Dollar</v>
      </c>
      <c s="69" t="str">
        <f t="shared" si="1"/>
        <v>Total US - Dollar</v>
      </c>
      <c s="77"/>
    </row>
    <row r="123" spans="1:141" ht="15">
      <c r="A12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 t="shared" si="2"/>
      </c>
      <c s="76">
        <f t="shared" si="3"/>
      </c>
      <c s="75">
        <f t="shared" si="4"/>
      </c>
      <c s="76">
        <f t="shared" si="5"/>
      </c>
      <c s="75">
        <f t="shared" si="6"/>
      </c>
      <c s="76">
        <f t="shared" si="7"/>
      </c>
      <c s="75">
        <f t="shared" si="28"/>
      </c>
      <c s="76">
        <f t="shared" si="8"/>
      </c>
      <c s="75">
        <f t="shared" si="29"/>
      </c>
      <c s="76">
        <f t="shared" si="9"/>
      </c>
      <c s="75">
        <f t="shared" si="10"/>
      </c>
      <c s="76">
        <f t="shared" si="11"/>
      </c>
      <c s="75">
        <f t="shared" si="12"/>
      </c>
      <c s="76">
        <f t="shared" si="13"/>
      </c>
      <c s="75">
        <f t="shared" si="14"/>
      </c>
      <c s="76">
        <f t="shared" si="15"/>
      </c>
      <c s="75">
        <f t="shared" si="16"/>
      </c>
      <c s="76">
        <f t="shared" si="17"/>
      </c>
      <c s="75">
        <f t="shared" si="30"/>
      </c>
      <c s="76">
        <f t="shared" si="18"/>
      </c>
      <c s="65" t="str">
        <f t="shared" si="19"/>
        <v>Five Below</v>
      </c>
      <c s="65" t="str">
        <f t="shared" si="20"/>
        <v>Dollar</v>
      </c>
      <c s="72" t="str">
        <f>IF('[1]Leakage Tree Data'!A22&lt;&gt;"",'[1]Leakage Tree Data'!A22,"")</f>
        <v>Total US - Five Below</v>
      </c>
      <c s="72" t="str">
        <f>IF('[1]Leakage Tree Data'!B22&lt;&gt;"",'[1]Leakage Tree Data'!B22,"")</f>
        <v>Total US - Dollar</v>
      </c>
      <c s="72">
        <f>IF('[1]Leakage Tree Data'!C22&lt;&gt;"",'[1]Leakage Tree Data'!C22,"")</f>
        <v>121171760.292236</v>
      </c>
      <c s="72">
        <f>IF('[1]Leakage Tree Data'!D22&lt;&gt;"",'[1]Leakage Tree Data'!D22,"")</f>
        <v>6676053.25598145</v>
      </c>
      <c s="72">
        <f>IF('[1]Leakage Tree Data'!E22&lt;&gt;"",'[1]Leakage Tree Data'!E22,"")</f>
        <v>5.50957850235109</v>
      </c>
      <c s="72">
        <f>IF('[1]Leakage Tree Data'!F22&lt;&gt;"",'[1]Leakage Tree Data'!F22,"")</f>
        <v>114495707.036255</v>
      </c>
      <c s="72">
        <f>IF('[1]Leakage Tree Data'!G22&lt;&gt;"",'[1]Leakage Tree Data'!G22,"")</f>
        <v>94.4904214976489</v>
      </c>
      <c s="72">
        <f>IF('[1]Leakage Tree Data'!H22&lt;&gt;"",'[1]Leakage Tree Data'!H22,"")</f>
        <v>61518209.9918823</v>
      </c>
      <c s="72" t="str">
        <f>IF('[1]Leakage Tree Data'!I22&lt;&gt;"",'[1]Leakage Tree Data'!I22,"")</f>
        <v>Dollar</v>
      </c>
      <c s="72">
        <f>IF('[1]Leakage Tree Data'!J22&lt;&gt;"",'[1]Leakage Tree Data'!J22,"")</f>
      </c>
      <c s="72">
        <f>IF('[1]Leakage Tree Data'!K22&lt;&gt;"",'[1]Leakage Tree Data'!K22,"")</f>
      </c>
      <c s="72">
        <f>IF('[1]Leakage Tree Data'!L22&lt;&gt;"",'[1]Leakage Tree Data'!L22,"")</f>
      </c>
      <c s="72">
        <f>IF('[1]Leakage Tree Data'!M22&lt;&gt;"",'[1]Leakage Tree Data'!M22,"")</f>
      </c>
      <c s="72">
        <f>IF('[1]Leakage Tree Data'!N22&lt;&gt;"",'[1]Leakage Tree Data'!N22,"")</f>
      </c>
      <c s="72">
        <f>IF('[1]Leakage Tree Data'!O22&lt;&gt;"",'[1]Leakage Tree Data'!O22,"")</f>
      </c>
      <c s="72">
        <f>IF('[1]Leakage Tree Data'!P22&lt;&gt;"",'[1]Leakage Tree Data'!P22,"")</f>
      </c>
      <c s="72">
        <f>IF('[1]Leakage Tree Data'!Q22&lt;&gt;"",'[1]Leakage Tree Data'!Q22,"")</f>
      </c>
      <c s="72">
        <f>IF('[1]Leakage Tree Data'!R22&lt;&gt;"",'[1]Leakage Tree Data'!R22,"")</f>
        <v>1017625.85098267</v>
      </c>
      <c s="72">
        <f>IF('[1]Leakage Tree Data'!S22&lt;&gt;"",'[1]Leakage Tree Data'!S22,"")</f>
        <v>1025769.99578857</v>
      </c>
      <c s="72">
        <f>IF('[1]Leakage Tree Data'!T22&lt;&gt;"",'[1]Leakage Tree Data'!T22,"")</f>
        <v>0.807049299783003</v>
      </c>
      <c s="72">
        <f>IF('[1]Leakage Tree Data'!U22&lt;&gt;"",'[1]Leakage Tree Data'!U22,"")</f>
        <v>-8144.1448059082</v>
      </c>
      <c s="72">
        <f>IF('[1]Leakage Tree Data'!V22&lt;&gt;"",'[1]Leakage Tree Data'!V22,"")</f>
        <v>-0.807049299783003</v>
      </c>
      <c s="72">
        <f>IF('[1]Leakage Tree Data'!W22&lt;&gt;"",'[1]Leakage Tree Data'!W22,"")</f>
        <v>-1855949.2237854</v>
      </c>
      <c s="72">
        <f>IF('[1]Leakage Tree Data'!X22&lt;&gt;"",'[1]Leakage Tree Data'!X22,"")</f>
      </c>
      <c s="72">
        <f>IF('[1]Leakage Tree Data'!Y22&lt;&gt;"",'[1]Leakage Tree Data'!Y22,"")</f>
      </c>
      <c s="72">
        <f>IF('[1]Leakage Tree Data'!Z22&lt;&gt;"",'[1]Leakage Tree Data'!Z22,"")</f>
      </c>
      <c s="72">
        <f>IF('[1]Leakage Tree Data'!AA22&lt;&gt;"",'[1]Leakage Tree Data'!AA22,"")</f>
      </c>
      <c s="72">
        <f>IF('[1]Leakage Tree Data'!AB22&lt;&gt;"",'[1]Leakage Tree Data'!AB22,"")</f>
      </c>
      <c s="72">
        <f>IF('[1]Leakage Tree Data'!AC22&lt;&gt;"",'[1]Leakage Tree Data'!AC22,"")</f>
      </c>
      <c s="72">
        <f>IF('[1]Leakage Tree Data'!AD22&lt;&gt;"",'[1]Leakage Tree Data'!AD22,"")</f>
      </c>
      <c s="72">
        <f>IF('[1]Leakage Tree Data'!AE22&lt;&gt;"",'[1]Leakage Tree Data'!AE22,"")</f>
      </c>
      <c s="73">
        <f t="shared" si="21"/>
      </c>
      <c s="73">
        <f t="shared" si="22"/>
      </c>
      <c s="73">
        <f t="shared" si="23"/>
      </c>
      <c s="73">
        <f t="shared" si="24"/>
      </c>
      <c s="74">
        <f t="shared" si="25"/>
      </c>
      <c s="74">
        <f t="shared" si="26"/>
      </c>
      <c s="69" t="str">
        <f t="shared" si="0"/>
        <v>Total US - Five Below</v>
      </c>
      <c s="69" t="str">
        <f t="shared" si="1"/>
        <v>Total US - Dollar</v>
      </c>
      <c s="77"/>
    </row>
    <row r="124" spans="1:141" ht="15">
      <c r="A12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 t="shared" si="2"/>
      </c>
      <c s="76">
        <f t="shared" si="3"/>
      </c>
      <c s="75">
        <f t="shared" si="4"/>
      </c>
      <c s="76">
        <f t="shared" si="5"/>
      </c>
      <c s="75">
        <f t="shared" si="6"/>
      </c>
      <c s="76">
        <f t="shared" si="7"/>
      </c>
      <c s="75">
        <f t="shared" si="28"/>
      </c>
      <c s="76">
        <f t="shared" si="8"/>
      </c>
      <c s="75">
        <f t="shared" si="29"/>
      </c>
      <c s="76">
        <f t="shared" si="9"/>
      </c>
      <c s="75">
        <f t="shared" si="10"/>
      </c>
      <c s="76">
        <f t="shared" si="11"/>
      </c>
      <c s="75">
        <f t="shared" si="12"/>
      </c>
      <c s="76">
        <f t="shared" si="13"/>
      </c>
      <c s="75">
        <f t="shared" si="14"/>
      </c>
      <c s="76">
        <f t="shared" si="15"/>
      </c>
      <c s="75">
        <f t="shared" si="16"/>
      </c>
      <c s="76">
        <f t="shared" si="17"/>
      </c>
      <c s="75">
        <f t="shared" si="30"/>
        <v>1679615.16461182</v>
      </c>
      <c s="76">
        <f t="shared" si="18"/>
        <v>17</v>
      </c>
      <c s="65" t="str">
        <f t="shared" si="19"/>
        <v>Freds</v>
      </c>
      <c s="65" t="str">
        <f t="shared" si="20"/>
        <v>Dollar</v>
      </c>
      <c s="72" t="str">
        <f>IF('[1]Leakage Tree Data'!A23&lt;&gt;"",'[1]Leakage Tree Data'!A23,"")</f>
        <v>Total US - Freds</v>
      </c>
      <c s="72" t="str">
        <f>IF('[1]Leakage Tree Data'!B23&lt;&gt;"",'[1]Leakage Tree Data'!B23,"")</f>
        <v>Total US - Dollar</v>
      </c>
      <c s="72">
        <f>IF('[1]Leakage Tree Data'!C23&lt;&gt;"",'[1]Leakage Tree Data'!C23,"")</f>
        <v>121171760.292236</v>
      </c>
      <c s="72">
        <f>IF('[1]Leakage Tree Data'!D23&lt;&gt;"",'[1]Leakage Tree Data'!D23,"")</f>
        <v>2989745.1673584</v>
      </c>
      <c s="72">
        <f>IF('[1]Leakage Tree Data'!E23&lt;&gt;"",'[1]Leakage Tree Data'!E23,"")</f>
        <v>2.46736133910069</v>
      </c>
      <c s="72">
        <f>IF('[1]Leakage Tree Data'!F23&lt;&gt;"",'[1]Leakage Tree Data'!F23,"")</f>
        <v>118182015.124878</v>
      </c>
      <c s="72">
        <f>IF('[1]Leakage Tree Data'!G23&lt;&gt;"",'[1]Leakage Tree Data'!G23,"")</f>
        <v>97.5326386608993</v>
      </c>
      <c s="72">
        <f>IF('[1]Leakage Tree Data'!H23&lt;&gt;"",'[1]Leakage Tree Data'!H23,"")</f>
        <v>61518209.9918823</v>
      </c>
      <c s="72" t="str">
        <f>IF('[1]Leakage Tree Data'!I23&lt;&gt;"",'[1]Leakage Tree Data'!I23,"")</f>
        <v>Dollar</v>
      </c>
      <c s="72">
        <f>IF('[1]Leakage Tree Data'!J23&lt;&gt;"",'[1]Leakage Tree Data'!J23,"")</f>
        <v>99.7729419671118</v>
      </c>
      <c s="72">
        <f>IF('[1]Leakage Tree Data'!K23&lt;&gt;"",'[1]Leakage Tree Data'!K23,"")</f>
        <v>139682.037475586</v>
      </c>
      <c s="72">
        <f>IF('[1]Leakage Tree Data'!L23&lt;&gt;"",'[1]Leakage Tree Data'!L23,"")</f>
      </c>
      <c s="72">
        <f>IF('[1]Leakage Tree Data'!M23&lt;&gt;"",'[1]Leakage Tree Data'!M23,"")</f>
        <v>1679615.16461182</v>
      </c>
      <c s="72">
        <f>IF('[1]Leakage Tree Data'!N23&lt;&gt;"",'[1]Leakage Tree Data'!N23,"")</f>
      </c>
      <c s="72">
        <f>IF('[1]Leakage Tree Data'!O23&lt;&gt;"",'[1]Leakage Tree Data'!O23,"")</f>
        <v>23.5763353812861</v>
      </c>
      <c s="72">
        <f>IF('[1]Leakage Tree Data'!P23&lt;&gt;"",'[1]Leakage Tree Data'!P23,"")</f>
        <v>473867.530391531</v>
      </c>
      <c s="72">
        <f>IF('[1]Leakage Tree Data'!Q23&lt;&gt;"",'[1]Leakage Tree Data'!Q23,"")</f>
      </c>
      <c s="72">
        <f>IF('[1]Leakage Tree Data'!R23&lt;&gt;"",'[1]Leakage Tree Data'!R23,"")</f>
        <v>1017625.85098267</v>
      </c>
      <c s="72">
        <f>IF('[1]Leakage Tree Data'!S23&lt;&gt;"",'[1]Leakage Tree Data'!S23,"")</f>
        <v>-554478.842773438</v>
      </c>
      <c s="72">
        <f>IF('[1]Leakage Tree Data'!T23&lt;&gt;"",'[1]Leakage Tree Data'!T23,"")</f>
        <v>-0.482369876236471</v>
      </c>
      <c s="72">
        <f>IF('[1]Leakage Tree Data'!U23&lt;&gt;"",'[1]Leakage Tree Data'!U23,"")</f>
        <v>1572104.6937561</v>
      </c>
      <c s="72">
        <f>IF('[1]Leakage Tree Data'!V23&lt;&gt;"",'[1]Leakage Tree Data'!V23,"")</f>
        <v>0.482369876236461</v>
      </c>
      <c s="72">
        <f>IF('[1]Leakage Tree Data'!W23&lt;&gt;"",'[1]Leakage Tree Data'!W23,"")</f>
        <v>-1855949.2237854</v>
      </c>
      <c s="72">
        <f>IF('[1]Leakage Tree Data'!X23&lt;&gt;"",'[1]Leakage Tree Data'!X23,"")</f>
      </c>
      <c s="72">
        <f>IF('[1]Leakage Tree Data'!Y23&lt;&gt;"",'[1]Leakage Tree Data'!Y23,"")</f>
        <v>0.191154472744813</v>
      </c>
      <c s="72">
        <f>IF('[1]Leakage Tree Data'!Z23&lt;&gt;"",'[1]Leakage Tree Data'!Z23,"")</f>
        <v>-125356.621704102</v>
      </c>
      <c s="72">
        <f>IF('[1]Leakage Tree Data'!AA23&lt;&gt;"",'[1]Leakage Tree Data'!AA23,"")</f>
      </c>
      <c s="72">
        <f>IF('[1]Leakage Tree Data'!AB23&lt;&gt;"",'[1]Leakage Tree Data'!AB23,"")</f>
        <v>-314224.443099976</v>
      </c>
      <c s="72">
        <f>IF('[1]Leakage Tree Data'!AC23&lt;&gt;"",'[1]Leakage Tree Data'!AC23,"")</f>
      </c>
      <c s="72">
        <f>IF('[1]Leakage Tree Data'!AD23&lt;&gt;"",'[1]Leakage Tree Data'!AD23,"")</f>
        <v>-4.62077726492975</v>
      </c>
      <c s="72">
        <f>IF('[1]Leakage Tree Data'!AE23&lt;&gt;"",'[1]Leakage Tree Data'!AE23,"")</f>
      </c>
      <c s="73">
        <f t="shared" si="21"/>
      </c>
      <c s="73">
        <f t="shared" si="22"/>
      </c>
      <c s="73">
        <f t="shared" si="23"/>
      </c>
      <c s="73">
        <f t="shared" si="24"/>
      </c>
      <c s="74">
        <f t="shared" si="25"/>
      </c>
      <c s="74">
        <f t="shared" si="26"/>
      </c>
      <c s="69" t="str">
        <f t="shared" si="0"/>
        <v>Total US - Freds</v>
      </c>
      <c s="69" t="str">
        <f t="shared" si="1"/>
        <v>Total US - Dollar</v>
      </c>
      <c s="77"/>
    </row>
    <row r="125" spans="1:141" ht="15">
      <c r="A12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 t="shared" si="2"/>
      </c>
      <c s="76">
        <f t="shared" si="3"/>
      </c>
      <c s="75">
        <f t="shared" si="4"/>
      </c>
      <c s="76">
        <f t="shared" si="5"/>
      </c>
      <c s="75">
        <f t="shared" si="6"/>
      </c>
      <c s="76">
        <f t="shared" si="7"/>
      </c>
      <c s="75">
        <f t="shared" si="28"/>
      </c>
      <c s="76">
        <f t="shared" si="8"/>
      </c>
      <c s="75">
        <f t="shared" si="29"/>
        <v>2546034.38015747</v>
      </c>
      <c s="76">
        <f t="shared" si="9"/>
        <v>11</v>
      </c>
      <c s="75">
        <f t="shared" si="10"/>
      </c>
      <c s="76">
        <f t="shared" si="11"/>
      </c>
      <c s="75">
        <f t="shared" si="12"/>
      </c>
      <c s="76">
        <f t="shared" si="13"/>
      </c>
      <c s="75">
        <f t="shared" si="14"/>
      </c>
      <c s="76">
        <f t="shared" si="15"/>
      </c>
      <c s="75">
        <f t="shared" si="16"/>
      </c>
      <c s="76">
        <f t="shared" si="17"/>
      </c>
      <c s="75">
        <f t="shared" si="30"/>
        <v>9579031.14065552</v>
      </c>
      <c s="76">
        <f t="shared" si="18"/>
        <v>11</v>
      </c>
      <c s="65" t="str">
        <f t="shared" si="19"/>
        <v>Ninetynine Cents</v>
      </c>
      <c s="65" t="str">
        <f t="shared" si="20"/>
        <v>Dollar</v>
      </c>
      <c s="72" t="str">
        <f>IF('[1]Leakage Tree Data'!A24&lt;&gt;"",'[1]Leakage Tree Data'!A24,"")</f>
        <v>Total US - Ninetynine Cents</v>
      </c>
      <c s="72" t="str">
        <f>IF('[1]Leakage Tree Data'!B24&lt;&gt;"",'[1]Leakage Tree Data'!B24,"")</f>
        <v>Total US - Dollar</v>
      </c>
      <c s="72">
        <f>IF('[1]Leakage Tree Data'!C24&lt;&gt;"",'[1]Leakage Tree Data'!C24,"")</f>
        <v>121171760.292236</v>
      </c>
      <c s="72">
        <f>IF('[1]Leakage Tree Data'!D24&lt;&gt;"",'[1]Leakage Tree Data'!D24,"")</f>
        <v>6260447.05426025</v>
      </c>
      <c s="72">
        <f>IF('[1]Leakage Tree Data'!E24&lt;&gt;"",'[1]Leakage Tree Data'!E24,"")</f>
        <v>5.16658917817287</v>
      </c>
      <c s="72">
        <f>IF('[1]Leakage Tree Data'!F24&lt;&gt;"",'[1]Leakage Tree Data'!F24,"")</f>
        <v>114911313.237976</v>
      </c>
      <c s="72">
        <f>IF('[1]Leakage Tree Data'!G24&lt;&gt;"",'[1]Leakage Tree Data'!G24,"")</f>
        <v>94.8334108218271</v>
      </c>
      <c s="72">
        <f>IF('[1]Leakage Tree Data'!H24&lt;&gt;"",'[1]Leakage Tree Data'!H24,"")</f>
        <v>61518209.9918823</v>
      </c>
      <c s="72" t="str">
        <f>IF('[1]Leakage Tree Data'!I24&lt;&gt;"",'[1]Leakage Tree Data'!I24,"")</f>
        <v>Dollar</v>
      </c>
      <c s="72">
        <f>IF('[1]Leakage Tree Data'!J24&lt;&gt;"",'[1]Leakage Tree Data'!J24,"")</f>
        <v>98.4184052676352</v>
      </c>
      <c s="72">
        <f>IF('[1]Leakage Tree Data'!K24&lt;&gt;"",'[1]Leakage Tree Data'!K24,"")</f>
        <v>972968.768676758</v>
      </c>
      <c s="72">
        <f>IF('[1]Leakage Tree Data'!L24&lt;&gt;"",'[1]Leakage Tree Data'!L24,"")</f>
        <v>2546034.38015747</v>
      </c>
      <c s="72">
        <f>IF('[1]Leakage Tree Data'!M24&lt;&gt;"",'[1]Leakage Tree Data'!M24,"")</f>
        <v>9579031.14065552</v>
      </c>
      <c s="72">
        <f>IF('[1]Leakage Tree Data'!N24&lt;&gt;"",'[1]Leakage Tree Data'!N24,"")</f>
        <v>2546034.38015747</v>
      </c>
      <c s="72">
        <f>IF('[1]Leakage Tree Data'!O24&lt;&gt;"",'[1]Leakage Tree Data'!O24,"")</f>
        <v>24.1367721905013</v>
      </c>
      <c s="72">
        <f>IF('[1]Leakage Tree Data'!P24&lt;&gt;"",'[1]Leakage Tree Data'!P24,"")</f>
        <v>259979.413049341</v>
      </c>
      <c s="72">
        <f>IF('[1]Leakage Tree Data'!Q24&lt;&gt;"",'[1]Leakage Tree Data'!Q24,"")</f>
      </c>
      <c s="72">
        <f>IF('[1]Leakage Tree Data'!R24&lt;&gt;"",'[1]Leakage Tree Data'!R24,"")</f>
        <v>1017625.85098267</v>
      </c>
      <c s="72">
        <f>IF('[1]Leakage Tree Data'!S24&lt;&gt;"",'[1]Leakage Tree Data'!S24,"")</f>
        <v>-140504.197479248</v>
      </c>
      <c s="72">
        <f>IF('[1]Leakage Tree Data'!T24&lt;&gt;"",'[1]Leakage Tree Data'!T24,"")</f>
        <v>-0.160694216198452</v>
      </c>
      <c s="72">
        <f>IF('[1]Leakage Tree Data'!U24&lt;&gt;"",'[1]Leakage Tree Data'!U24,"")</f>
        <v>1158130.04846191</v>
      </c>
      <c s="72">
        <f>IF('[1]Leakage Tree Data'!V24&lt;&gt;"",'[1]Leakage Tree Data'!V24,"")</f>
        <v>0.160694216198451</v>
      </c>
      <c s="72">
        <f>IF('[1]Leakage Tree Data'!W24&lt;&gt;"",'[1]Leakage Tree Data'!W24,"")</f>
        <v>-1855949.2237854</v>
      </c>
      <c s="72">
        <f>IF('[1]Leakage Tree Data'!X24&lt;&gt;"",'[1]Leakage Tree Data'!X24,"")</f>
      </c>
      <c s="72">
        <f>IF('[1]Leakage Tree Data'!Y24&lt;&gt;"",'[1]Leakage Tree Data'!Y24,"")</f>
        <v>-0.100202590240457</v>
      </c>
      <c s="72">
        <f>IF('[1]Leakage Tree Data'!Z24&lt;&gt;"",'[1]Leakage Tree Data'!Z24,"")</f>
        <v>34148.953918457</v>
      </c>
      <c s="72">
        <f>IF('[1]Leakage Tree Data'!AA24&lt;&gt;"",'[1]Leakage Tree Data'!AA24,"")</f>
        <v>376966.094543457</v>
      </c>
      <c s="72">
        <f>IF('[1]Leakage Tree Data'!AB24&lt;&gt;"",'[1]Leakage Tree Data'!AB24,"")</f>
        <v>628935.302200317</v>
      </c>
      <c s="72">
        <f>IF('[1]Leakage Tree Data'!AC24&lt;&gt;"",'[1]Leakage Tree Data'!AC24,"")</f>
        <v>376966.094543457</v>
      </c>
      <c s="72">
        <f>IF('[1]Leakage Tree Data'!AD24&lt;&gt;"",'[1]Leakage Tree Data'!AD24,"")</f>
        <v>1.26489280518662</v>
      </c>
      <c s="72">
        <f>IF('[1]Leakage Tree Data'!AE24&lt;&gt;"",'[1]Leakage Tree Data'!AE24,"")</f>
      </c>
      <c s="73">
        <f t="shared" si="21"/>
      </c>
      <c s="73">
        <f t="shared" si="22"/>
      </c>
      <c s="73">
        <f t="shared" si="23"/>
      </c>
      <c s="73">
        <f t="shared" si="24"/>
      </c>
      <c s="74">
        <f t="shared" si="25"/>
      </c>
      <c s="74">
        <f t="shared" si="26"/>
      </c>
      <c s="69" t="str">
        <f t="shared" si="0"/>
        <v>Total US - Ninetynine Cents</v>
      </c>
      <c s="69" t="str">
        <f t="shared" si="1"/>
        <v>Total US - Dollar</v>
      </c>
      <c s="77"/>
    </row>
    <row r="126" spans="1:141" ht="15">
      <c r="A12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 t="shared" si="2"/>
      </c>
      <c s="76">
        <f t="shared" si="3"/>
      </c>
      <c s="75">
        <f t="shared" si="4"/>
      </c>
      <c s="76">
        <f t="shared" si="5"/>
      </c>
      <c s="75">
        <f t="shared" si="6"/>
      </c>
      <c s="76">
        <f t="shared" si="7"/>
      </c>
      <c s="75">
        <f t="shared" si="28"/>
      </c>
      <c s="76">
        <f t="shared" si="8"/>
      </c>
      <c s="75">
        <f t="shared" si="29"/>
      </c>
      <c s="76">
        <f t="shared" si="9"/>
      </c>
      <c s="75">
        <f t="shared" si="10"/>
      </c>
      <c s="76">
        <f t="shared" si="11"/>
      </c>
      <c s="75">
        <f t="shared" si="12"/>
      </c>
      <c s="76">
        <f t="shared" si="13"/>
      </c>
      <c s="75">
        <f t="shared" si="14"/>
      </c>
      <c s="76">
        <f t="shared" si="15"/>
      </c>
      <c s="75">
        <f t="shared" si="16"/>
      </c>
      <c s="76">
        <f t="shared" si="17"/>
      </c>
      <c s="75">
        <f t="shared" si="30"/>
      </c>
      <c s="76">
        <f t="shared" si="18"/>
      </c>
      <c s="65" t="str">
        <f t="shared" si="19"/>
        <v>Your Dollar Store w/ More</v>
      </c>
      <c s="65" t="str">
        <f t="shared" si="20"/>
        <v>Dollar</v>
      </c>
      <c s="72" t="str">
        <f>IF('[1]Leakage Tree Data'!A25&lt;&gt;"",'[1]Leakage Tree Data'!A25,"")</f>
        <v>Total US - Your Dollar Store w/ More</v>
      </c>
      <c s="72" t="str">
        <f>IF('[1]Leakage Tree Data'!B25&lt;&gt;"",'[1]Leakage Tree Data'!B25,"")</f>
        <v>Total US - Dollar</v>
      </c>
      <c s="72">
        <f>IF('[1]Leakage Tree Data'!C25&lt;&gt;"",'[1]Leakage Tree Data'!C25,"")</f>
        <v>121171760.292236</v>
      </c>
      <c s="72">
        <f>IF('[1]Leakage Tree Data'!D25&lt;&gt;"",'[1]Leakage Tree Data'!D25,"")</f>
        <v>1234525.25256348</v>
      </c>
      <c s="72">
        <f>IF('[1]Leakage Tree Data'!E25&lt;&gt;"",'[1]Leakage Tree Data'!E25,"")</f>
        <v>1.01882257845071</v>
      </c>
      <c s="72">
        <f>IF('[1]Leakage Tree Data'!F25&lt;&gt;"",'[1]Leakage Tree Data'!F25,"")</f>
        <v>119937235.039673</v>
      </c>
      <c s="72">
        <f>IF('[1]Leakage Tree Data'!G25&lt;&gt;"",'[1]Leakage Tree Data'!G25,"")</f>
        <v>98.9811774215493</v>
      </c>
      <c s="72">
        <f>IF('[1]Leakage Tree Data'!H25&lt;&gt;"",'[1]Leakage Tree Data'!H25,"")</f>
        <v>61518209.9918823</v>
      </c>
      <c s="72" t="str">
        <f>IF('[1]Leakage Tree Data'!I25&lt;&gt;"",'[1]Leakage Tree Data'!I25,"")</f>
        <v>Dollar</v>
      </c>
      <c s="72">
        <f>IF('[1]Leakage Tree Data'!J25&lt;&gt;"",'[1]Leakage Tree Data'!J25,"")</f>
      </c>
      <c s="72">
        <f>IF('[1]Leakage Tree Data'!K25&lt;&gt;"",'[1]Leakage Tree Data'!K25,"")</f>
      </c>
      <c s="72">
        <f>IF('[1]Leakage Tree Data'!L25&lt;&gt;"",'[1]Leakage Tree Data'!L25,"")</f>
      </c>
      <c s="72">
        <f>IF('[1]Leakage Tree Data'!M25&lt;&gt;"",'[1]Leakage Tree Data'!M25,"")</f>
      </c>
      <c s="72">
        <f>IF('[1]Leakage Tree Data'!N25&lt;&gt;"",'[1]Leakage Tree Data'!N25,"")</f>
      </c>
      <c s="72">
        <f>IF('[1]Leakage Tree Data'!O25&lt;&gt;"",'[1]Leakage Tree Data'!O25,"")</f>
        <v>13.0049779449398</v>
      </c>
      <c s="72">
        <f>IF('[1]Leakage Tree Data'!P25&lt;&gt;"",'[1]Leakage Tree Data'!P25,"")</f>
        <v>113015.684855986</v>
      </c>
      <c s="72">
        <f>IF('[1]Leakage Tree Data'!Q25&lt;&gt;"",'[1]Leakage Tree Data'!Q25,"")</f>
      </c>
      <c s="72">
        <f>IF('[1]Leakage Tree Data'!R25&lt;&gt;"",'[1]Leakage Tree Data'!R25,"")</f>
        <v>1017625.85098267</v>
      </c>
      <c s="72">
        <f>IF('[1]Leakage Tree Data'!S25&lt;&gt;"",'[1]Leakage Tree Data'!S25,"")</f>
        <v>-242116.871002197</v>
      </c>
      <c s="72">
        <f>IF('[1]Leakage Tree Data'!T25&lt;&gt;"",'[1]Leakage Tree Data'!T25,"")</f>
        <v>-0.21013398674151</v>
      </c>
      <c s="72">
        <f>IF('[1]Leakage Tree Data'!U25&lt;&gt;"",'[1]Leakage Tree Data'!U25,"")</f>
        <v>1259742.72198486</v>
      </c>
      <c s="72">
        <f>IF('[1]Leakage Tree Data'!V25&lt;&gt;"",'[1]Leakage Tree Data'!V25,"")</f>
        <v>0.210133986741511</v>
      </c>
      <c s="72">
        <f>IF('[1]Leakage Tree Data'!W25&lt;&gt;"",'[1]Leakage Tree Data'!W25,"")</f>
        <v>-1855949.2237854</v>
      </c>
      <c s="72">
        <f>IF('[1]Leakage Tree Data'!X25&lt;&gt;"",'[1]Leakage Tree Data'!X25,"")</f>
      </c>
      <c s="72">
        <f>IF('[1]Leakage Tree Data'!Y25&lt;&gt;"",'[1]Leakage Tree Data'!Y25,"")</f>
      </c>
      <c s="72">
        <f>IF('[1]Leakage Tree Data'!Z25&lt;&gt;"",'[1]Leakage Tree Data'!Z25,"")</f>
      </c>
      <c s="72">
        <f>IF('[1]Leakage Tree Data'!AA25&lt;&gt;"",'[1]Leakage Tree Data'!AA25,"")</f>
      </c>
      <c s="72">
        <f>IF('[1]Leakage Tree Data'!AB25&lt;&gt;"",'[1]Leakage Tree Data'!AB25,"")</f>
      </c>
      <c s="72">
        <f>IF('[1]Leakage Tree Data'!AC25&lt;&gt;"",'[1]Leakage Tree Data'!AC25,"")</f>
      </c>
      <c s="72">
        <f>IF('[1]Leakage Tree Data'!AD25&lt;&gt;"",'[1]Leakage Tree Data'!AD25,"")</f>
        <v>-3.47522184568417</v>
      </c>
      <c s="72">
        <f>IF('[1]Leakage Tree Data'!AE25&lt;&gt;"",'[1]Leakage Tree Data'!AE25,"")</f>
      </c>
      <c s="73">
        <f t="shared" si="21"/>
      </c>
      <c s="73">
        <f t="shared" si="22"/>
      </c>
      <c s="73">
        <f t="shared" si="23"/>
      </c>
      <c s="73">
        <f t="shared" si="24"/>
      </c>
      <c s="74">
        <f t="shared" si="25"/>
      </c>
      <c s="74">
        <f t="shared" si="26"/>
      </c>
      <c s="69" t="str">
        <f t="shared" si="0"/>
        <v>Total US - Your Dollar Store w/ More</v>
      </c>
      <c s="69" t="str">
        <f t="shared" si="1"/>
        <v>Total US - Dollar</v>
      </c>
      <c s="77"/>
    </row>
    <row r="127" spans="1:141" ht="15">
      <c r="A12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 t="shared" si="2"/>
        <v>47367397.3753591</v>
      </c>
      <c s="76">
        <f t="shared" si="3"/>
        <v>4</v>
      </c>
      <c s="75">
        <f t="shared" si="4"/>
      </c>
      <c s="76">
        <f t="shared" si="5"/>
      </c>
      <c s="75">
        <f t="shared" si="6"/>
      </c>
      <c s="76">
        <f t="shared" si="7"/>
      </c>
      <c s="75">
        <f t="shared" si="28"/>
      </c>
      <c s="76">
        <f t="shared" si="8"/>
      </c>
      <c s="75">
        <f t="shared" si="29"/>
      </c>
      <c s="76">
        <f t="shared" si="9"/>
      </c>
      <c s="75">
        <f t="shared" si="10"/>
        <v>106307475.063995</v>
      </c>
      <c s="76">
        <f t="shared" si="11"/>
        <v>4</v>
      </c>
      <c s="75">
        <f t="shared" si="12"/>
      </c>
      <c s="76">
        <f t="shared" si="13"/>
      </c>
      <c s="75">
        <f t="shared" si="14"/>
      </c>
      <c s="76">
        <f t="shared" si="15"/>
      </c>
      <c s="75">
        <f t="shared" si="16"/>
      </c>
      <c s="76">
        <f t="shared" si="17"/>
      </c>
      <c s="75">
        <f t="shared" si="30"/>
      </c>
      <c s="76">
        <f t="shared" si="18"/>
      </c>
      <c s="65" t="str">
        <f t="shared" si="19"/>
        <v>Drug</v>
      </c>
      <c s="65" t="str">
        <f t="shared" si="20"/>
        <v>Drug</v>
      </c>
      <c s="72" t="str">
        <f>IF('[1]Leakage Tree Data'!A26&lt;&gt;"",'[1]Leakage Tree Data'!A26,"")</f>
        <v>Total US - Drug</v>
      </c>
      <c s="72" t="str">
        <f>IF('[1]Leakage Tree Data'!B26&lt;&gt;"",'[1]Leakage Tree Data'!B26,"")</f>
        <v>Total US - Drug</v>
      </c>
      <c s="72">
        <f>IF('[1]Leakage Tree Data'!C26&lt;&gt;"",'[1]Leakage Tree Data'!C26,"")</f>
        <v>121171760.292236</v>
      </c>
      <c s="72">
        <f>IF('[1]Leakage Tree Data'!D26&lt;&gt;"",'[1]Leakage Tree Data'!D26,"")</f>
        <v>85682067.2716064</v>
      </c>
      <c s="72">
        <f>IF('[1]Leakage Tree Data'!E26&lt;&gt;"",'[1]Leakage Tree Data'!E26,"")</f>
        <v>70.7112507608724</v>
      </c>
      <c s="72">
        <f>IF('[1]Leakage Tree Data'!F26&lt;&gt;"",'[1]Leakage Tree Data'!F26,"")</f>
        <v>35489693.0206299</v>
      </c>
      <c s="72">
        <f>IF('[1]Leakage Tree Data'!G26&lt;&gt;"",'[1]Leakage Tree Data'!G26,"")</f>
        <v>29.2887492391276</v>
      </c>
      <c s="72">
        <f>IF('[1]Leakage Tree Data'!H26&lt;&gt;"",'[1]Leakage Tree Data'!H26,"")</f>
        <v>61518209.9918823</v>
      </c>
      <c s="72" t="str">
        <f>IF('[1]Leakage Tree Data'!I26&lt;&gt;"",'[1]Leakage Tree Data'!I26,"")</f>
        <v>Drug</v>
      </c>
      <c s="72">
        <f>IF('[1]Leakage Tree Data'!J26&lt;&gt;"",'[1]Leakage Tree Data'!J26,"")</f>
        <v>82.7961856121306</v>
      </c>
      <c s="72">
        <f>IF('[1]Leakage Tree Data'!K26&lt;&gt;"",'[1]Leakage Tree Data'!K26,"")</f>
        <v>10583478.6617432</v>
      </c>
      <c s="72">
        <f>IF('[1]Leakage Tree Data'!L26&lt;&gt;"",'[1]Leakage Tree Data'!L26,"")</f>
        <v>47367397.3753591</v>
      </c>
      <c s="72">
        <f>IF('[1]Leakage Tree Data'!M26&lt;&gt;"",'[1]Leakage Tree Data'!M26,"")</f>
        <v>106307475.063995</v>
      </c>
      <c s="72">
        <f>IF('[1]Leakage Tree Data'!N26&lt;&gt;"",'[1]Leakage Tree Data'!N26,"")</f>
        <v>47367397.3753591</v>
      </c>
      <c s="72">
        <f>IF('[1]Leakage Tree Data'!O26&lt;&gt;"",'[1]Leakage Tree Data'!O26,"")</f>
        <v>21.3398305397005</v>
      </c>
      <c s="72">
        <f>IF('[1]Leakage Tree Data'!P26&lt;&gt;"",'[1]Leakage Tree Data'!P26,"")</f>
        <v>16222535.3232299</v>
      </c>
      <c s="72">
        <f>IF('[1]Leakage Tree Data'!Q26&lt;&gt;"",'[1]Leakage Tree Data'!Q26,"")</f>
      </c>
      <c s="72">
        <f>IF('[1]Leakage Tree Data'!R26&lt;&gt;"",'[1]Leakage Tree Data'!R26,"")</f>
        <v>1017625.85098267</v>
      </c>
      <c s="72">
        <f>IF('[1]Leakage Tree Data'!S26&lt;&gt;"",'[1]Leakage Tree Data'!S26,"")</f>
        <v>-2373564.65133667</v>
      </c>
      <c s="72">
        <f>IF('[1]Leakage Tree Data'!T26&lt;&gt;"",'[1]Leakage Tree Data'!T26,"")</f>
        <v>-2.5743105994782</v>
      </c>
      <c s="72">
        <f>IF('[1]Leakage Tree Data'!U26&lt;&gt;"",'[1]Leakage Tree Data'!U26,"")</f>
        <v>3391190.50231934</v>
      </c>
      <c s="72">
        <f>IF('[1]Leakage Tree Data'!V26&lt;&gt;"",'[1]Leakage Tree Data'!V26,"")</f>
        <v>2.5743105994782</v>
      </c>
      <c s="72">
        <f>IF('[1]Leakage Tree Data'!W26&lt;&gt;"",'[1]Leakage Tree Data'!W26,"")</f>
        <v>-1855949.2237854</v>
      </c>
      <c s="72">
        <f>IF('[1]Leakage Tree Data'!X26&lt;&gt;"",'[1]Leakage Tree Data'!X26,"")</f>
      </c>
      <c s="72">
        <f>IF('[1]Leakage Tree Data'!Y26&lt;&gt;"",'[1]Leakage Tree Data'!Y26,"")</f>
        <v>1.74665437338548</v>
      </c>
      <c s="72">
        <f>IF('[1]Leakage Tree Data'!Z26&lt;&gt;"",'[1]Leakage Tree Data'!Z26,"")</f>
        <v>-1426221.58312988</v>
      </c>
      <c s="72">
        <f>IF('[1]Leakage Tree Data'!AA26&lt;&gt;"",'[1]Leakage Tree Data'!AA26,"")</f>
        <v>-17468320.9703908</v>
      </c>
      <c s="72">
        <f>IF('[1]Leakage Tree Data'!AB26&lt;&gt;"",'[1]Leakage Tree Data'!AB26,"")</f>
        <v>-4738390.12012577</v>
      </c>
      <c s="72">
        <f>IF('[1]Leakage Tree Data'!AC26&lt;&gt;"",'[1]Leakage Tree Data'!AC26,"")</f>
        <v>-17468320.9703908</v>
      </c>
      <c s="72">
        <f>IF('[1]Leakage Tree Data'!AD26&lt;&gt;"",'[1]Leakage Tree Data'!AD26,"")</f>
        <v>-1.30012015982044</v>
      </c>
      <c s="72">
        <f>IF('[1]Leakage Tree Data'!AE26&lt;&gt;"",'[1]Leakage Tree Data'!AE26,"")</f>
      </c>
      <c s="73">
        <f t="shared" si="21"/>
        <v>106307475.063995</v>
      </c>
      <c s="73">
        <f t="shared" si="22"/>
        <v>47367397.3753591</v>
      </c>
      <c s="73">
        <f t="shared" si="23"/>
        <v>-4738390.12012577</v>
      </c>
      <c s="73">
        <f t="shared" si="24"/>
        <v>-17468320.9703908</v>
      </c>
      <c s="74">
        <f t="shared" si="25"/>
        <v>0.000214422385450115</v>
      </c>
      <c s="74">
        <f t="shared" si="26"/>
        <v>-0.0086017243641943</v>
      </c>
      <c s="69" t="str">
        <f t="shared" si="0"/>
        <v>Total US - Drug</v>
      </c>
      <c s="69" t="str">
        <f t="shared" si="1"/>
        <v>Total US - Drug</v>
      </c>
      <c s="77"/>
    </row>
    <row r="128" spans="1:141" ht="15">
      <c r="A12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 t="shared" si="2"/>
      </c>
      <c s="76">
        <f t="shared" si="3"/>
      </c>
      <c s="75">
        <f t="shared" si="4"/>
      </c>
      <c s="76">
        <f t="shared" si="5"/>
      </c>
      <c s="75">
        <f t="shared" si="6"/>
      </c>
      <c s="76">
        <f t="shared" si="7"/>
      </c>
      <c s="75">
        <f t="shared" si="28"/>
      </c>
      <c s="76">
        <f t="shared" si="8"/>
      </c>
      <c s="75">
        <f t="shared" si="29"/>
        <v>25834146.4397683</v>
      </c>
      <c s="76">
        <f t="shared" si="9"/>
        <v>1</v>
      </c>
      <c s="75">
        <f t="shared" si="10"/>
      </c>
      <c s="76">
        <f t="shared" si="11"/>
      </c>
      <c s="75">
        <f t="shared" si="12"/>
      </c>
      <c s="76">
        <f t="shared" si="13"/>
      </c>
      <c s="75">
        <f t="shared" si="14"/>
      </c>
      <c s="76">
        <f t="shared" si="15"/>
      </c>
      <c s="75">
        <f t="shared" si="16"/>
      </c>
      <c s="76">
        <f t="shared" si="17"/>
      </c>
      <c s="75">
        <f t="shared" si="30"/>
        <v>49472203.9836292</v>
      </c>
      <c s="76">
        <f t="shared" si="18"/>
        <v>1</v>
      </c>
      <c s="65" t="str">
        <f t="shared" si="19"/>
        <v>CVS</v>
      </c>
      <c s="65" t="str">
        <f t="shared" si="20"/>
        <v>Drug</v>
      </c>
      <c s="72" t="str">
        <f>IF('[1]Leakage Tree Data'!A27&lt;&gt;"",'[1]Leakage Tree Data'!A27,"")</f>
        <v>Total US - CVS</v>
      </c>
      <c s="72" t="str">
        <f>IF('[1]Leakage Tree Data'!B27&lt;&gt;"",'[1]Leakage Tree Data'!B27,"")</f>
        <v>Total US - Drug</v>
      </c>
      <c s="72">
        <f>IF('[1]Leakage Tree Data'!C27&lt;&gt;"",'[1]Leakage Tree Data'!C27,"")</f>
        <v>121171760.292236</v>
      </c>
      <c s="72">
        <f>IF('[1]Leakage Tree Data'!D27&lt;&gt;"",'[1]Leakage Tree Data'!D27,"")</f>
        <v>46992078.8173828</v>
      </c>
      <c s="72">
        <f>IF('[1]Leakage Tree Data'!E27&lt;&gt;"",'[1]Leakage Tree Data'!E27,"")</f>
        <v>38.7813783542052</v>
      </c>
      <c s="72">
        <f>IF('[1]Leakage Tree Data'!F27&lt;&gt;"",'[1]Leakage Tree Data'!F27,"")</f>
        <v>74179681.4748535</v>
      </c>
      <c s="72">
        <f>IF('[1]Leakage Tree Data'!G27&lt;&gt;"",'[1]Leakage Tree Data'!G27,"")</f>
        <v>61.2186216457948</v>
      </c>
      <c s="72">
        <f>IF('[1]Leakage Tree Data'!H27&lt;&gt;"",'[1]Leakage Tree Data'!H27,"")</f>
        <v>61518209.9918823</v>
      </c>
      <c s="72" t="str">
        <f>IF('[1]Leakage Tree Data'!I27&lt;&gt;"",'[1]Leakage Tree Data'!I27,"")</f>
        <v>Drug</v>
      </c>
      <c s="72">
        <f>IF('[1]Leakage Tree Data'!J27&lt;&gt;"",'[1]Leakage Tree Data'!J27,"")</f>
        <v>90.6808062709527</v>
      </c>
      <c s="72">
        <f>IF('[1]Leakage Tree Data'!K27&lt;&gt;"",'[1]Leakage Tree Data'!K27,"")</f>
        <v>5733001.16778564</v>
      </c>
      <c s="72">
        <f>IF('[1]Leakage Tree Data'!L27&lt;&gt;"",'[1]Leakage Tree Data'!L27,"")</f>
        <v>25834146.4397683</v>
      </c>
      <c s="72">
        <f>IF('[1]Leakage Tree Data'!M27&lt;&gt;"",'[1]Leakage Tree Data'!M27,"")</f>
        <v>49472203.9836292</v>
      </c>
      <c s="72">
        <f>IF('[1]Leakage Tree Data'!N27&lt;&gt;"",'[1]Leakage Tree Data'!N27,"")</f>
        <v>25834146.4397683</v>
      </c>
      <c s="72">
        <f>IF('[1]Leakage Tree Data'!O27&lt;&gt;"",'[1]Leakage Tree Data'!O27,"")</f>
        <v>19.981325212321</v>
      </c>
      <c s="72">
        <f>IF('[1]Leakage Tree Data'!P27&lt;&gt;"",'[1]Leakage Tree Data'!P27,"")</f>
        <v>8305391.72722789</v>
      </c>
      <c s="72">
        <f>IF('[1]Leakage Tree Data'!Q27&lt;&gt;"",'[1]Leakage Tree Data'!Q27,"")</f>
      </c>
      <c s="72">
        <f>IF('[1]Leakage Tree Data'!R27&lt;&gt;"",'[1]Leakage Tree Data'!R27,"")</f>
        <v>1017625.85098267</v>
      </c>
      <c s="72">
        <f>IF('[1]Leakage Tree Data'!S27&lt;&gt;"",'[1]Leakage Tree Data'!S27,"")</f>
        <v>-1693850.0737915</v>
      </c>
      <c s="72">
        <f>IF('[1]Leakage Tree Data'!T27&lt;&gt;"",'[1]Leakage Tree Data'!T27,"")</f>
        <v>-1.7381835548176</v>
      </c>
      <c s="72">
        <f>IF('[1]Leakage Tree Data'!U27&lt;&gt;"",'[1]Leakage Tree Data'!U27,"")</f>
        <v>2711475.92477417</v>
      </c>
      <c s="72">
        <f>IF('[1]Leakage Tree Data'!V27&lt;&gt;"",'[1]Leakage Tree Data'!V27,"")</f>
        <v>1.7381835548176</v>
      </c>
      <c s="72">
        <f>IF('[1]Leakage Tree Data'!W27&lt;&gt;"",'[1]Leakage Tree Data'!W27,"")</f>
        <v>-1855949.2237854</v>
      </c>
      <c s="72">
        <f>IF('[1]Leakage Tree Data'!X27&lt;&gt;"",'[1]Leakage Tree Data'!X27,"")</f>
      </c>
      <c s="72">
        <f>IF('[1]Leakage Tree Data'!Y27&lt;&gt;"",'[1]Leakage Tree Data'!Y27,"")</f>
        <v>1.73554086178549</v>
      </c>
      <c s="72">
        <f>IF('[1]Leakage Tree Data'!Z27&lt;&gt;"",'[1]Leakage Tree Data'!Z27,"")</f>
        <v>-1272843.93267822</v>
      </c>
      <c s="72">
        <f>IF('[1]Leakage Tree Data'!AA27&lt;&gt;"",'[1]Leakage Tree Data'!AA27,"")</f>
        <v>-10390962.2342439</v>
      </c>
      <c s="72">
        <f>IF('[1]Leakage Tree Data'!AB27&lt;&gt;"",'[1]Leakage Tree Data'!AB27,"")</f>
        <v>-6007077.55809784</v>
      </c>
      <c s="72">
        <f>IF('[1]Leakage Tree Data'!AC27&lt;&gt;"",'[1]Leakage Tree Data'!AC27,"")</f>
        <v>-10390962.2342439</v>
      </c>
      <c s="72">
        <f>IF('[1]Leakage Tree Data'!AD27&lt;&gt;"",'[1]Leakage Tree Data'!AD27,"")</f>
        <v>-2.57117337758373</v>
      </c>
      <c s="72">
        <f>IF('[1]Leakage Tree Data'!AE27&lt;&gt;"",'[1]Leakage Tree Data'!AE27,"")</f>
      </c>
      <c s="73">
        <f t="shared" si="21"/>
      </c>
      <c s="73">
        <f t="shared" si="22"/>
      </c>
      <c s="73">
        <f t="shared" si="23"/>
      </c>
      <c s="73">
        <f t="shared" si="24"/>
      </c>
      <c s="74">
        <f t="shared" si="25"/>
      </c>
      <c s="74">
        <f t="shared" si="26"/>
      </c>
      <c s="69" t="str">
        <f t="shared" si="0"/>
        <v>Total US - CVS</v>
      </c>
      <c s="69" t="str">
        <f t="shared" si="1"/>
        <v>Total US - Drug</v>
      </c>
      <c s="77"/>
    </row>
    <row r="129" spans="1:141" ht="15">
      <c r="A12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 t="shared" si="2"/>
      </c>
      <c s="76">
        <f t="shared" si="3"/>
      </c>
      <c s="75">
        <f t="shared" si="4"/>
      </c>
      <c s="76">
        <f t="shared" si="5"/>
      </c>
      <c s="75">
        <f t="shared" si="6"/>
      </c>
      <c s="76">
        <f t="shared" si="7"/>
      </c>
      <c s="75">
        <f t="shared" si="28"/>
      </c>
      <c s="76">
        <f t="shared" si="8"/>
      </c>
      <c s="75">
        <f t="shared" si="29"/>
      </c>
      <c s="76">
        <f t="shared" si="9"/>
      </c>
      <c s="75">
        <f t="shared" si="10"/>
      </c>
      <c s="76">
        <f t="shared" si="11"/>
      </c>
      <c s="75">
        <f t="shared" si="12"/>
      </c>
      <c s="76">
        <f t="shared" si="13"/>
      </c>
      <c s="75">
        <f t="shared" si="14"/>
      </c>
      <c s="76">
        <f t="shared" si="15"/>
      </c>
      <c s="75">
        <f t="shared" si="16"/>
      </c>
      <c s="76">
        <f t="shared" si="17"/>
      </c>
      <c s="75">
        <f t="shared" si="30"/>
      </c>
      <c s="76">
        <f t="shared" si="18"/>
      </c>
      <c s="65" t="str">
        <f t="shared" si="19"/>
        <v>Osco Drugs</v>
      </c>
      <c s="65" t="str">
        <f t="shared" si="20"/>
        <v>Drug</v>
      </c>
      <c s="72" t="str">
        <f>IF('[1]Leakage Tree Data'!A28&lt;&gt;"",'[1]Leakage Tree Data'!A28,"")</f>
        <v>Total US - Osco Drugs</v>
      </c>
      <c s="72" t="str">
        <f>IF('[1]Leakage Tree Data'!B28&lt;&gt;"",'[1]Leakage Tree Data'!B28,"")</f>
        <v>Total US - Drug</v>
      </c>
      <c s="72">
        <f>IF('[1]Leakage Tree Data'!C28&lt;&gt;"",'[1]Leakage Tree Data'!C28,"")</f>
        <v>121171760.292236</v>
      </c>
      <c s="72">
        <f>IF('[1]Leakage Tree Data'!D28&lt;&gt;"",'[1]Leakage Tree Data'!D28,"")</f>
        <v>326916.465148926</v>
      </c>
      <c s="72">
        <f>IF('[1]Leakage Tree Data'!E28&lt;&gt;"",'[1]Leakage Tree Data'!E28,"")</f>
        <v>0.269795919742755</v>
      </c>
      <c s="72">
        <f>IF('[1]Leakage Tree Data'!F28&lt;&gt;"",'[1]Leakage Tree Data'!F28,"")</f>
        <v>120844843.827087</v>
      </c>
      <c s="72">
        <f>IF('[1]Leakage Tree Data'!G28&lt;&gt;"",'[1]Leakage Tree Data'!G28,"")</f>
        <v>99.7302040802572</v>
      </c>
      <c s="72">
        <f>IF('[1]Leakage Tree Data'!H28&lt;&gt;"",'[1]Leakage Tree Data'!H28,"")</f>
        <v>61518209.9918823</v>
      </c>
      <c s="72" t="str">
        <f>IF('[1]Leakage Tree Data'!I28&lt;&gt;"",'[1]Leakage Tree Data'!I28,"")</f>
        <v>Drug</v>
      </c>
      <c s="72">
        <f>IF('[1]Leakage Tree Data'!J28&lt;&gt;"",'[1]Leakage Tree Data'!J28,"")</f>
      </c>
      <c s="72">
        <f>IF('[1]Leakage Tree Data'!K28&lt;&gt;"",'[1]Leakage Tree Data'!K28,"")</f>
      </c>
      <c s="72">
        <f>IF('[1]Leakage Tree Data'!L28&lt;&gt;"",'[1]Leakage Tree Data'!L28,"")</f>
      </c>
      <c s="72">
        <f>IF('[1]Leakage Tree Data'!M28&lt;&gt;"",'[1]Leakage Tree Data'!M28,"")</f>
      </c>
      <c s="72">
        <f>IF('[1]Leakage Tree Data'!N28&lt;&gt;"",'[1]Leakage Tree Data'!N28,"")</f>
      </c>
      <c s="72">
        <f>IF('[1]Leakage Tree Data'!O28&lt;&gt;"",'[1]Leakage Tree Data'!O28,"")</f>
      </c>
      <c s="72">
        <f>IF('[1]Leakage Tree Data'!P28&lt;&gt;"",'[1]Leakage Tree Data'!P28,"")</f>
      </c>
      <c s="72">
        <f>IF('[1]Leakage Tree Data'!Q28&lt;&gt;"",'[1]Leakage Tree Data'!Q28,"")</f>
      </c>
      <c s="72">
        <f>IF('[1]Leakage Tree Data'!R28&lt;&gt;"",'[1]Leakage Tree Data'!R28,"")</f>
        <v>1017625.85098267</v>
      </c>
      <c s="72">
        <f>IF('[1]Leakage Tree Data'!S28&lt;&gt;"",'[1]Leakage Tree Data'!S28,"")</f>
        <v>-64782.1588134766</v>
      </c>
      <c s="72">
        <f>IF('[1]Leakage Tree Data'!T28&lt;&gt;"",'[1]Leakage Tree Data'!T28,"")</f>
        <v>-0.0562008724474573</v>
      </c>
      <c s="72">
        <f>IF('[1]Leakage Tree Data'!U28&lt;&gt;"",'[1]Leakage Tree Data'!U28,"")</f>
        <v>1082408.00979614</v>
      </c>
      <c s="72">
        <f>IF('[1]Leakage Tree Data'!V28&lt;&gt;"",'[1]Leakage Tree Data'!V28,"")</f>
        <v>0.0562008724474481</v>
      </c>
      <c s="72">
        <f>IF('[1]Leakage Tree Data'!W28&lt;&gt;"",'[1]Leakage Tree Data'!W28,"")</f>
        <v>-1855949.2237854</v>
      </c>
      <c s="72">
        <f>IF('[1]Leakage Tree Data'!X28&lt;&gt;"",'[1]Leakage Tree Data'!X28,"")</f>
      </c>
      <c s="72">
        <f>IF('[1]Leakage Tree Data'!Y28&lt;&gt;"",'[1]Leakage Tree Data'!Y28,"")</f>
      </c>
      <c s="72">
        <f>IF('[1]Leakage Tree Data'!Z28&lt;&gt;"",'[1]Leakage Tree Data'!Z28,"")</f>
      </c>
      <c s="72">
        <f>IF('[1]Leakage Tree Data'!AA28&lt;&gt;"",'[1]Leakage Tree Data'!AA28,"")</f>
      </c>
      <c s="72">
        <f>IF('[1]Leakage Tree Data'!AB28&lt;&gt;"",'[1]Leakage Tree Data'!AB28,"")</f>
      </c>
      <c s="72">
        <f>IF('[1]Leakage Tree Data'!AC28&lt;&gt;"",'[1]Leakage Tree Data'!AC28,"")</f>
      </c>
      <c s="72">
        <f>IF('[1]Leakage Tree Data'!AD28&lt;&gt;"",'[1]Leakage Tree Data'!AD28,"")</f>
      </c>
      <c s="72">
        <f>IF('[1]Leakage Tree Data'!AE28&lt;&gt;"",'[1]Leakage Tree Data'!AE28,"")</f>
      </c>
      <c s="73">
        <f t="shared" si="21"/>
      </c>
      <c s="73">
        <f t="shared" si="22"/>
      </c>
      <c s="73">
        <f t="shared" si="23"/>
      </c>
      <c s="73">
        <f t="shared" si="24"/>
      </c>
      <c s="74">
        <f t="shared" si="25"/>
      </c>
      <c s="74">
        <f t="shared" si="26"/>
      </c>
      <c s="69" t="str">
        <f t="shared" si="0"/>
        <v>Total US - Osco Drugs</v>
      </c>
      <c s="69" t="str">
        <f t="shared" si="1"/>
        <v>Total US - Drug</v>
      </c>
      <c s="77"/>
    </row>
    <row r="130" spans="1:141" ht="15">
      <c r="A13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 t="shared" si="2"/>
      </c>
      <c s="76">
        <f t="shared" si="3"/>
      </c>
      <c s="75">
        <f t="shared" si="4"/>
      </c>
      <c s="76">
        <f t="shared" si="5"/>
      </c>
      <c s="75">
        <f t="shared" si="6"/>
      </c>
      <c s="76">
        <f t="shared" si="7"/>
      </c>
      <c s="75">
        <f t="shared" si="28"/>
      </c>
      <c s="76">
        <f t="shared" si="8"/>
      </c>
      <c s="75">
        <f t="shared" si="29"/>
        <v>6152656.05388069</v>
      </c>
      <c s="76">
        <f t="shared" si="9"/>
        <v>5</v>
      </c>
      <c s="75">
        <f t="shared" si="10"/>
      </c>
      <c s="76">
        <f t="shared" si="11"/>
      </c>
      <c s="75">
        <f t="shared" si="12"/>
      </c>
      <c s="76">
        <f t="shared" si="13"/>
      </c>
      <c s="75">
        <f t="shared" si="14"/>
      </c>
      <c s="76">
        <f t="shared" si="15"/>
      </c>
      <c s="75">
        <f t="shared" si="16"/>
      </c>
      <c s="76">
        <f t="shared" si="17"/>
      </c>
      <c s="75">
        <f t="shared" si="30"/>
        <v>14359910.8831081</v>
      </c>
      <c s="76">
        <f t="shared" si="18"/>
        <v>9</v>
      </c>
      <c s="65" t="str">
        <f t="shared" si="19"/>
        <v>Rite Aid</v>
      </c>
      <c s="65" t="str">
        <f t="shared" si="20"/>
        <v>Drug</v>
      </c>
      <c s="72" t="str">
        <f>IF('[1]Leakage Tree Data'!A29&lt;&gt;"",'[1]Leakage Tree Data'!A29,"")</f>
        <v>Total US - Rite Aid</v>
      </c>
      <c s="72" t="str">
        <f>IF('[1]Leakage Tree Data'!B29&lt;&gt;"",'[1]Leakage Tree Data'!B29,"")</f>
        <v>Total US - Drug</v>
      </c>
      <c s="72">
        <f>IF('[1]Leakage Tree Data'!C29&lt;&gt;"",'[1]Leakage Tree Data'!C29,"")</f>
        <v>121171760.292236</v>
      </c>
      <c s="72">
        <f>IF('[1]Leakage Tree Data'!D29&lt;&gt;"",'[1]Leakage Tree Data'!D29,"")</f>
        <v>21645759.9282837</v>
      </c>
      <c s="72">
        <f>IF('[1]Leakage Tree Data'!E29&lt;&gt;"",'[1]Leakage Tree Data'!E29,"")</f>
        <v>17.8637001526424</v>
      </c>
      <c s="72">
        <f>IF('[1]Leakage Tree Data'!F29&lt;&gt;"",'[1]Leakage Tree Data'!F29,"")</f>
        <v>99526000.3639526</v>
      </c>
      <c s="72">
        <f>IF('[1]Leakage Tree Data'!G29&lt;&gt;"",'[1]Leakage Tree Data'!G29,"")</f>
        <v>82.1362998473576</v>
      </c>
      <c s="72">
        <f>IF('[1]Leakage Tree Data'!H29&lt;&gt;"",'[1]Leakage Tree Data'!H29,"")</f>
        <v>61518209.9918823</v>
      </c>
      <c s="72" t="str">
        <f>IF('[1]Leakage Tree Data'!I29&lt;&gt;"",'[1]Leakage Tree Data'!I29,"")</f>
        <v>Drug</v>
      </c>
      <c s="72">
        <f>IF('[1]Leakage Tree Data'!J29&lt;&gt;"",'[1]Leakage Tree Data'!J29,"")</f>
        <v>97.308571589885</v>
      </c>
      <c s="72">
        <f>IF('[1]Leakage Tree Data'!K29&lt;&gt;"",'[1]Leakage Tree Data'!K29,"")</f>
        <v>1655718.58111572</v>
      </c>
      <c s="72">
        <f>IF('[1]Leakage Tree Data'!L29&lt;&gt;"",'[1]Leakage Tree Data'!L29,"")</f>
        <v>6152656.05388069</v>
      </c>
      <c s="72">
        <f>IF('[1]Leakage Tree Data'!M29&lt;&gt;"",'[1]Leakage Tree Data'!M29,"")</f>
        <v>14359910.8831081</v>
      </c>
      <c s="72">
        <f>IF('[1]Leakage Tree Data'!N29&lt;&gt;"",'[1]Leakage Tree Data'!N29,"")</f>
        <v>6152656.05388069</v>
      </c>
      <c s="72">
        <f>IF('[1]Leakage Tree Data'!O29&lt;&gt;"",'[1]Leakage Tree Data'!O29,"")</f>
        <v>14.2745278254724</v>
      </c>
      <c s="72">
        <f>IF('[1]Leakage Tree Data'!P29&lt;&gt;"",'[1]Leakage Tree Data'!P29,"")</f>
        <v>3746449.85615338</v>
      </c>
      <c s="72">
        <f>IF('[1]Leakage Tree Data'!Q29&lt;&gt;"",'[1]Leakage Tree Data'!Q29,"")</f>
      </c>
      <c s="72">
        <f>IF('[1]Leakage Tree Data'!R29&lt;&gt;"",'[1]Leakage Tree Data'!R29,"")</f>
        <v>1017625.85098267</v>
      </c>
      <c s="72">
        <f>IF('[1]Leakage Tree Data'!S29&lt;&gt;"",'[1]Leakage Tree Data'!S29,"")</f>
        <v>-1424736.62191772</v>
      </c>
      <c s="72">
        <f>IF('[1]Leakage Tree Data'!T29&lt;&gt;"",'[1]Leakage Tree Data'!T29,"")</f>
        <v>-1.33705116356068</v>
      </c>
      <c s="72">
        <f>IF('[1]Leakage Tree Data'!U29&lt;&gt;"",'[1]Leakage Tree Data'!U29,"")</f>
        <v>2442362.47290039</v>
      </c>
      <c s="72">
        <f>IF('[1]Leakage Tree Data'!V29&lt;&gt;"",'[1]Leakage Tree Data'!V29,"")</f>
        <v>1.33705116356067</v>
      </c>
      <c s="72">
        <f>IF('[1]Leakage Tree Data'!W29&lt;&gt;"",'[1]Leakage Tree Data'!W29,"")</f>
        <v>-1855949.2237854</v>
      </c>
      <c s="72">
        <f>IF('[1]Leakage Tree Data'!X29&lt;&gt;"",'[1]Leakage Tree Data'!X29,"")</f>
      </c>
      <c s="72">
        <f>IF('[1]Leakage Tree Data'!Y29&lt;&gt;"",'[1]Leakage Tree Data'!Y29,"")</f>
        <v>0.255831857775206</v>
      </c>
      <c s="72">
        <f>IF('[1]Leakage Tree Data'!Z29&lt;&gt;"",'[1]Leakage Tree Data'!Z29,"")</f>
        <v>-212082.833557129</v>
      </c>
      <c s="72">
        <f>IF('[1]Leakage Tree Data'!AA29&lt;&gt;"",'[1]Leakage Tree Data'!AA29,"")</f>
        <v>-1526271.36720848</v>
      </c>
      <c s="72">
        <f>IF('[1]Leakage Tree Data'!AB29&lt;&gt;"",'[1]Leakage Tree Data'!AB29,"")</f>
        <v>-1452433.9960146</v>
      </c>
      <c s="72">
        <f>IF('[1]Leakage Tree Data'!AC29&lt;&gt;"",'[1]Leakage Tree Data'!AC29,"")</f>
        <v>-1526271.36720848</v>
      </c>
      <c s="72">
        <f>IF('[1]Leakage Tree Data'!AD29&lt;&gt;"",'[1]Leakage Tree Data'!AD29,"")</f>
        <v>0.254595403053584</v>
      </c>
      <c s="72">
        <f>IF('[1]Leakage Tree Data'!AE29&lt;&gt;"",'[1]Leakage Tree Data'!AE29,"")</f>
      </c>
      <c s="73">
        <f t="shared" si="21"/>
      </c>
      <c s="73">
        <f t="shared" si="22"/>
      </c>
      <c s="73">
        <f t="shared" si="23"/>
      </c>
      <c s="73">
        <f t="shared" si="24"/>
      </c>
      <c s="74">
        <f t="shared" si="25"/>
      </c>
      <c s="74">
        <f t="shared" si="26"/>
      </c>
      <c s="69" t="str">
        <f t="shared" si="0"/>
        <v>Total US - Rite Aid</v>
      </c>
      <c s="69" t="str">
        <f t="shared" si="1"/>
        <v>Total US - Drug</v>
      </c>
      <c s="77"/>
    </row>
    <row r="131" spans="1:141" ht="15">
      <c r="A13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 t="shared" si="2"/>
      </c>
      <c s="76">
        <f t="shared" si="3"/>
      </c>
      <c s="75">
        <f t="shared" si="4"/>
      </c>
      <c s="76">
        <f t="shared" si="5"/>
      </c>
      <c s="75">
        <f t="shared" si="6"/>
      </c>
      <c s="76">
        <f t="shared" si="7"/>
      </c>
      <c s="75">
        <f t="shared" si="28"/>
      </c>
      <c s="76">
        <f t="shared" si="8"/>
      </c>
      <c s="75">
        <f t="shared" si="29"/>
        <v>14172125.6260567</v>
      </c>
      <c s="76">
        <f t="shared" si="9"/>
        <v>2</v>
      </c>
      <c s="75">
        <f t="shared" si="10"/>
      </c>
      <c s="76">
        <f t="shared" si="11"/>
      </c>
      <c s="75">
        <f t="shared" si="12"/>
      </c>
      <c s="76">
        <f t="shared" si="13"/>
      </c>
      <c s="75">
        <f t="shared" si="14"/>
      </c>
      <c s="76">
        <f t="shared" si="15"/>
      </c>
      <c s="75">
        <f t="shared" si="16"/>
      </c>
      <c s="76">
        <f t="shared" si="17"/>
      </c>
      <c s="75">
        <f t="shared" si="30"/>
        <v>38607076.2041416</v>
      </c>
      <c s="76">
        <f t="shared" si="18"/>
        <v>3</v>
      </c>
      <c s="65" t="str">
        <f t="shared" si="19"/>
        <v>Walgreens</v>
      </c>
      <c s="65" t="str">
        <f t="shared" si="20"/>
        <v>Drug</v>
      </c>
      <c s="72" t="str">
        <f>IF('[1]Leakage Tree Data'!A30&lt;&gt;"",'[1]Leakage Tree Data'!A30,"")</f>
        <v>Total US - Walgreens</v>
      </c>
      <c s="72" t="str">
        <f>IF('[1]Leakage Tree Data'!B30&lt;&gt;"",'[1]Leakage Tree Data'!B30,"")</f>
        <v>Total US - Drug</v>
      </c>
      <c s="72">
        <f>IF('[1]Leakage Tree Data'!C30&lt;&gt;"",'[1]Leakage Tree Data'!C30,"")</f>
        <v>121171760.292236</v>
      </c>
      <c s="72">
        <f>IF('[1]Leakage Tree Data'!D30&lt;&gt;"",'[1]Leakage Tree Data'!D30,"")</f>
        <v>55792649.0424805</v>
      </c>
      <c s="72">
        <f>IF('[1]Leakage Tree Data'!E30&lt;&gt;"",'[1]Leakage Tree Data'!E30,"")</f>
        <v>46.0442671691179</v>
      </c>
      <c s="72">
        <f>IF('[1]Leakage Tree Data'!F30&lt;&gt;"",'[1]Leakage Tree Data'!F30,"")</f>
        <v>65379111.2497559</v>
      </c>
      <c s="72">
        <f>IF('[1]Leakage Tree Data'!G30&lt;&gt;"",'[1]Leakage Tree Data'!G30,"")</f>
        <v>53.9557328308821</v>
      </c>
      <c s="72">
        <f>IF('[1]Leakage Tree Data'!H30&lt;&gt;"",'[1]Leakage Tree Data'!H30,"")</f>
        <v>61518209.9918823</v>
      </c>
      <c s="72" t="str">
        <f>IF('[1]Leakage Tree Data'!I30&lt;&gt;"",'[1]Leakage Tree Data'!I30,"")</f>
        <v>Drug</v>
      </c>
      <c s="72">
        <f>IF('[1]Leakage Tree Data'!J30&lt;&gt;"",'[1]Leakage Tree Data'!J30,"")</f>
        <v>92.0245546919681</v>
      </c>
      <c s="72">
        <f>IF('[1]Leakage Tree Data'!K30&lt;&gt;"",'[1]Leakage Tree Data'!K30,"")</f>
        <v>4906351.19238281</v>
      </c>
      <c s="72">
        <f>IF('[1]Leakage Tree Data'!L30&lt;&gt;"",'[1]Leakage Tree Data'!L30,"")</f>
        <v>14172125.6260567</v>
      </c>
      <c s="72">
        <f>IF('[1]Leakage Tree Data'!M30&lt;&gt;"",'[1]Leakage Tree Data'!M30,"")</f>
        <v>38607076.2041416</v>
      </c>
      <c s="72">
        <f>IF('[1]Leakage Tree Data'!N30&lt;&gt;"",'[1]Leakage Tree Data'!N30,"")</f>
        <v>14172125.6260567</v>
      </c>
      <c s="72">
        <f>IF('[1]Leakage Tree Data'!O30&lt;&gt;"",'[1]Leakage Tree Data'!O30,"")</f>
        <v>14.8284694509789</v>
      </c>
      <c s="72">
        <f>IF('[1]Leakage Tree Data'!P30&lt;&gt;"",'[1]Leakage Tree Data'!P30,"")</f>
        <v>7680634.88732753</v>
      </c>
      <c s="72">
        <f>IF('[1]Leakage Tree Data'!Q30&lt;&gt;"",'[1]Leakage Tree Data'!Q30,"")</f>
      </c>
      <c s="72">
        <f>IF('[1]Leakage Tree Data'!R30&lt;&gt;"",'[1]Leakage Tree Data'!R30,"")</f>
        <v>1017625.85098267</v>
      </c>
      <c s="72">
        <f>IF('[1]Leakage Tree Data'!S30&lt;&gt;"",'[1]Leakage Tree Data'!S30,"")</f>
        <v>-2063375.54284668</v>
      </c>
      <c s="72">
        <f>IF('[1]Leakage Tree Data'!T30&lt;&gt;"",'[1]Leakage Tree Data'!T30,"")</f>
        <v>-2.10723827376334</v>
      </c>
      <c s="72">
        <f>IF('[1]Leakage Tree Data'!U30&lt;&gt;"",'[1]Leakage Tree Data'!U30,"")</f>
        <v>3081001.39382935</v>
      </c>
      <c s="72">
        <f>IF('[1]Leakage Tree Data'!V30&lt;&gt;"",'[1]Leakage Tree Data'!V30,"")</f>
        <v>2.10723827376334</v>
      </c>
      <c s="72">
        <f>IF('[1]Leakage Tree Data'!W30&lt;&gt;"",'[1]Leakage Tree Data'!W30,"")</f>
        <v>-1855949.2237854</v>
      </c>
      <c s="72">
        <f>IF('[1]Leakage Tree Data'!X30&lt;&gt;"",'[1]Leakage Tree Data'!X30,"")</f>
      </c>
      <c s="72">
        <f>IF('[1]Leakage Tree Data'!Y30&lt;&gt;"",'[1]Leakage Tree Data'!Y30,"")</f>
        <v>0.315841143824159</v>
      </c>
      <c s="72">
        <f>IF('[1]Leakage Tree Data'!Z30&lt;&gt;"",'[1]Leakage Tree Data'!Z30,"")</f>
        <v>-348181.884643555</v>
      </c>
      <c s="72">
        <f>IF('[1]Leakage Tree Data'!AA30&lt;&gt;"",'[1]Leakage Tree Data'!AA30,"")</f>
        <v>-5439781.08112144</v>
      </c>
      <c s="72">
        <f>IF('[1]Leakage Tree Data'!AB30&lt;&gt;"",'[1]Leakage Tree Data'!AB30,"")</f>
        <v>2429147.44929504</v>
      </c>
      <c s="72">
        <f>IF('[1]Leakage Tree Data'!AC30&lt;&gt;"",'[1]Leakage Tree Data'!AC30,"")</f>
        <v>-5439781.08112144</v>
      </c>
      <c s="72">
        <f>IF('[1]Leakage Tree Data'!AD30&lt;&gt;"",'[1]Leakage Tree Data'!AD30,"")</f>
        <v>0.228574896951278</v>
      </c>
      <c s="72">
        <f>IF('[1]Leakage Tree Data'!AE30&lt;&gt;"",'[1]Leakage Tree Data'!AE30,"")</f>
      </c>
      <c s="73">
        <f t="shared" si="21"/>
      </c>
      <c s="73">
        <f t="shared" si="22"/>
      </c>
      <c s="73">
        <f t="shared" si="23"/>
      </c>
      <c s="73">
        <f t="shared" si="24"/>
      </c>
      <c s="74">
        <f t="shared" si="25"/>
      </c>
      <c s="74">
        <f t="shared" si="26"/>
      </c>
      <c s="69" t="str">
        <f t="shared" si="0"/>
        <v>Total US - Walgreens</v>
      </c>
      <c s="69" t="str">
        <f t="shared" si="1"/>
        <v>Total US - Drug</v>
      </c>
      <c s="77"/>
    </row>
    <row r="132" spans="1:141" ht="15">
      <c r="A13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 t="shared" si="2"/>
        <v>181239767.421648</v>
      </c>
      <c s="76">
        <f t="shared" si="3"/>
        <v>1</v>
      </c>
      <c s="75">
        <f t="shared" si="4"/>
      </c>
      <c s="76">
        <f t="shared" si="5"/>
      </c>
      <c s="75">
        <f t="shared" si="6"/>
      </c>
      <c s="76">
        <f t="shared" si="7"/>
      </c>
      <c s="75">
        <f t="shared" si="28"/>
      </c>
      <c s="76">
        <f t="shared" si="8"/>
      </c>
      <c s="75">
        <f t="shared" si="29"/>
      </c>
      <c s="76">
        <f t="shared" si="9"/>
      </c>
      <c s="75">
        <f t="shared" si="10"/>
        <v>610436804.760924</v>
      </c>
      <c s="76">
        <f t="shared" si="11"/>
        <v>1</v>
      </c>
      <c s="75">
        <f t="shared" si="12"/>
      </c>
      <c s="76">
        <f t="shared" si="13"/>
      </c>
      <c s="75">
        <f t="shared" si="14"/>
      </c>
      <c s="76">
        <f t="shared" si="15"/>
      </c>
      <c s="75">
        <f t="shared" si="16"/>
      </c>
      <c s="76">
        <f t="shared" si="17"/>
      </c>
      <c s="75">
        <f t="shared" si="30"/>
      </c>
      <c s="76">
        <f t="shared" si="18"/>
      </c>
      <c s="65" t="str">
        <f t="shared" si="19"/>
        <v>GroceryX</v>
      </c>
      <c s="65" t="str">
        <f t="shared" si="20"/>
        <v>GroceryX</v>
      </c>
      <c s="72" t="str">
        <f>IF('[1]Leakage Tree Data'!A31&lt;&gt;"",'[1]Leakage Tree Data'!A31,"")</f>
        <v>Total US - GroceryX</v>
      </c>
      <c s="72" t="str">
        <f>IF('[1]Leakage Tree Data'!B31&lt;&gt;"",'[1]Leakage Tree Data'!B31,"")</f>
        <v>Total US - GroceryX</v>
      </c>
      <c s="72">
        <f>IF('[1]Leakage Tree Data'!C31&lt;&gt;"",'[1]Leakage Tree Data'!C31,"")</f>
        <v>121171760.292236</v>
      </c>
      <c s="72">
        <f>IF('[1]Leakage Tree Data'!D31&lt;&gt;"",'[1]Leakage Tree Data'!D31,"")</f>
        <v>119062654.327881</v>
      </c>
      <c s="72">
        <f>IF('[1]Leakage Tree Data'!E31&lt;&gt;"",'[1]Leakage Tree Data'!E31,"")</f>
        <v>98.2594080012795</v>
      </c>
      <c s="72">
        <f>IF('[1]Leakage Tree Data'!F31&lt;&gt;"",'[1]Leakage Tree Data'!F31,"")</f>
        <v>2109105.96435547</v>
      </c>
      <c s="72">
        <f>IF('[1]Leakage Tree Data'!G31&lt;&gt;"",'[1]Leakage Tree Data'!G31,"")</f>
        <v>1.74059199872052</v>
      </c>
      <c s="72">
        <f>IF('[1]Leakage Tree Data'!H31&lt;&gt;"",'[1]Leakage Tree Data'!H31,"")</f>
        <v>61518209.9918823</v>
      </c>
      <c s="72" t="str">
        <f>IF('[1]Leakage Tree Data'!I31&lt;&gt;"",'[1]Leakage Tree Data'!I31,"")</f>
        <v>GroceryX</v>
      </c>
      <c s="72">
        <f>IF('[1]Leakage Tree Data'!J31&lt;&gt;"",'[1]Leakage Tree Data'!J31,"")</f>
        <v>40.5833690104298</v>
      </c>
      <c s="72">
        <f>IF('[1]Leakage Tree Data'!K31&lt;&gt;"",'[1]Leakage Tree Data'!K31,"")</f>
        <v>36552047.8222656</v>
      </c>
      <c s="72">
        <f>IF('[1]Leakage Tree Data'!L31&lt;&gt;"",'[1]Leakage Tree Data'!L31,"")</f>
        <v>181239767.421648</v>
      </c>
      <c s="72">
        <f>IF('[1]Leakage Tree Data'!M31&lt;&gt;"",'[1]Leakage Tree Data'!M31,"")</f>
        <v>610436804.760924</v>
      </c>
      <c s="72">
        <f>IF('[1]Leakage Tree Data'!N31&lt;&gt;"",'[1]Leakage Tree Data'!N31,"")</f>
        <v>181239767.421648</v>
      </c>
      <c s="72">
        <f>IF('[1]Leakage Tree Data'!O31&lt;&gt;"",'[1]Leakage Tree Data'!O31,"")</f>
        <v>60.1775747378468</v>
      </c>
      <c s="72">
        <f>IF('[1]Leakage Tree Data'!P31&lt;&gt;"",'[1]Leakage Tree Data'!P31,"")</f>
        <v>31214209.0877407</v>
      </c>
      <c s="72">
        <f>IF('[1]Leakage Tree Data'!Q31&lt;&gt;"",'[1]Leakage Tree Data'!Q31,"")</f>
      </c>
      <c s="72">
        <f>IF('[1]Leakage Tree Data'!R31&lt;&gt;"",'[1]Leakage Tree Data'!R31,"")</f>
        <v>1017625.85098267</v>
      </c>
      <c s="72">
        <f>IF('[1]Leakage Tree Data'!S31&lt;&gt;"",'[1]Leakage Tree Data'!S31,"")</f>
        <v>689204.991668701</v>
      </c>
      <c s="72">
        <f>IF('[1]Leakage Tree Data'!T31&lt;&gt;"",'[1]Leakage Tree Data'!T31,"")</f>
        <v>-0.258591305758827</v>
      </c>
      <c s="72">
        <f>IF('[1]Leakage Tree Data'!U31&lt;&gt;"",'[1]Leakage Tree Data'!U31,"")</f>
        <v>328420.859313965</v>
      </c>
      <c s="72">
        <f>IF('[1]Leakage Tree Data'!V31&lt;&gt;"",'[1]Leakage Tree Data'!V31,"")</f>
        <v>0.258591305758827</v>
      </c>
      <c s="72">
        <f>IF('[1]Leakage Tree Data'!W31&lt;&gt;"",'[1]Leakage Tree Data'!W31,"")</f>
        <v>-1855949.2237854</v>
      </c>
      <c s="72">
        <f>IF('[1]Leakage Tree Data'!X31&lt;&gt;"",'[1]Leakage Tree Data'!X31,"")</f>
      </c>
      <c s="72">
        <f>IF('[1]Leakage Tree Data'!Y31&lt;&gt;"",'[1]Leakage Tree Data'!Y31,"")</f>
        <v>2.8854638475359</v>
      </c>
      <c s="72">
        <f>IF('[1]Leakage Tree Data'!Z31&lt;&gt;"",'[1]Leakage Tree Data'!Z31,"")</f>
        <v>-2931380.95449829</v>
      </c>
      <c s="72">
        <f>IF('[1]Leakage Tree Data'!AA31&lt;&gt;"",'[1]Leakage Tree Data'!AA31,"")</f>
        <v>-55680439.4890461</v>
      </c>
      <c s="72">
        <f>IF('[1]Leakage Tree Data'!AB31&lt;&gt;"",'[1]Leakage Tree Data'!AB31,"")</f>
        <v>-63072569.2734518</v>
      </c>
      <c s="72">
        <f>IF('[1]Leakage Tree Data'!AC31&lt;&gt;"",'[1]Leakage Tree Data'!AC31,"")</f>
        <v>-55680439.4890461</v>
      </c>
      <c s="72">
        <f>IF('[1]Leakage Tree Data'!AD31&lt;&gt;"",'[1]Leakage Tree Data'!AD31,"")</f>
        <v>-2.3838159488075</v>
      </c>
      <c s="72">
        <f>IF('[1]Leakage Tree Data'!AE31&lt;&gt;"",'[1]Leakage Tree Data'!AE31,"")</f>
      </c>
      <c s="73">
        <f t="shared" si="21"/>
        <v>610436804.760924</v>
      </c>
      <c s="73">
        <f t="shared" si="22"/>
        <v>181239767.421648</v>
      </c>
      <c s="73">
        <f t="shared" si="23"/>
        <v>-63072569.2734518</v>
      </c>
      <c s="73">
        <f t="shared" si="24"/>
        <v>-55680439.4890461</v>
      </c>
      <c s="74">
        <f t="shared" si="25"/>
        <v>-0.0177159816894387</v>
      </c>
      <c s="74">
        <f t="shared" si="26"/>
        <v>-0.0209933274763886</v>
      </c>
      <c s="69" t="str">
        <f t="shared" si="0"/>
        <v>Total US - GroceryX</v>
      </c>
      <c s="69" t="str">
        <f t="shared" si="1"/>
        <v>Total US - GroceryX</v>
      </c>
      <c s="77"/>
    </row>
    <row r="133" spans="1:141" ht="15">
      <c r="A13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 t="shared" si="2"/>
      </c>
      <c s="76">
        <f t="shared" si="3"/>
      </c>
      <c s="75">
        <f t="shared" si="4"/>
      </c>
      <c s="76">
        <f t="shared" si="5"/>
      </c>
      <c s="75">
        <f t="shared" si="6"/>
      </c>
      <c s="76">
        <f t="shared" si="7"/>
      </c>
      <c s="75">
        <f t="shared" si="28"/>
      </c>
      <c s="76">
        <f t="shared" si="8"/>
      </c>
      <c s="75">
        <f t="shared" si="29"/>
      </c>
      <c s="76">
        <f t="shared" si="9"/>
      </c>
      <c s="75">
        <f t="shared" si="10"/>
      </c>
      <c s="76">
        <f t="shared" si="11"/>
      </c>
      <c s="75">
        <f t="shared" si="12"/>
      </c>
      <c s="76">
        <f t="shared" si="13"/>
      </c>
      <c s="75">
        <f t="shared" si="14"/>
      </c>
      <c s="76">
        <f t="shared" si="15"/>
      </c>
      <c s="75">
        <f t="shared" si="16"/>
      </c>
      <c s="76">
        <f t="shared" si="17"/>
      </c>
      <c s="75">
        <f t="shared" si="30"/>
      </c>
      <c s="76">
        <f t="shared" si="18"/>
      </c>
      <c s="65" t="str">
        <f t="shared" si="19"/>
        <v>A&amp;P</v>
      </c>
      <c s="65" t="str">
        <f t="shared" si="20"/>
        <v>GroceryX</v>
      </c>
      <c s="72" t="str">
        <f>IF('[1]Leakage Tree Data'!A32&lt;&gt;"",'[1]Leakage Tree Data'!A32,"")</f>
        <v>Total US - A&amp;P</v>
      </c>
      <c s="72" t="str">
        <f>IF('[1]Leakage Tree Data'!B32&lt;&gt;"",'[1]Leakage Tree Data'!B32,"")</f>
        <v>Total US - GroceryX</v>
      </c>
      <c s="72">
        <f>IF('[1]Leakage Tree Data'!C32&lt;&gt;"",'[1]Leakage Tree Data'!C32,"")</f>
        <v>121171760.292236</v>
      </c>
      <c s="72">
        <f>IF('[1]Leakage Tree Data'!D32&lt;&gt;"",'[1]Leakage Tree Data'!D32,"")</f>
        <v>1228605.45092773</v>
      </c>
      <c s="72">
        <f>IF('[1]Leakage Tree Data'!E32&lt;&gt;"",'[1]Leakage Tree Data'!E32,"")</f>
        <v>1.0139371153515</v>
      </c>
      <c s="72">
        <f>IF('[1]Leakage Tree Data'!F32&lt;&gt;"",'[1]Leakage Tree Data'!F32,"")</f>
        <v>119943154.841309</v>
      </c>
      <c s="72">
        <f>IF('[1]Leakage Tree Data'!G32&lt;&gt;"",'[1]Leakage Tree Data'!G32,"")</f>
        <v>98.9860628846485</v>
      </c>
      <c s="72">
        <f>IF('[1]Leakage Tree Data'!H32&lt;&gt;"",'[1]Leakage Tree Data'!H32,"")</f>
        <v>61518209.9918823</v>
      </c>
      <c s="72" t="str">
        <f>IF('[1]Leakage Tree Data'!I32&lt;&gt;"",'[1]Leakage Tree Data'!I32,"")</f>
        <v>GroceryX</v>
      </c>
      <c s="72">
        <f>IF('[1]Leakage Tree Data'!J32&lt;&gt;"",'[1]Leakage Tree Data'!J32,"")</f>
      </c>
      <c s="72">
        <f>IF('[1]Leakage Tree Data'!K32&lt;&gt;"",'[1]Leakage Tree Data'!K32,"")</f>
      </c>
      <c s="72">
        <f>IF('[1]Leakage Tree Data'!L32&lt;&gt;"",'[1]Leakage Tree Data'!L32,"")</f>
      </c>
      <c s="72">
        <f>IF('[1]Leakage Tree Data'!M32&lt;&gt;"",'[1]Leakage Tree Data'!M32,"")</f>
      </c>
      <c s="72">
        <f>IF('[1]Leakage Tree Data'!N32&lt;&gt;"",'[1]Leakage Tree Data'!N32,"")</f>
      </c>
      <c s="72">
        <f>IF('[1]Leakage Tree Data'!O32&lt;&gt;"",'[1]Leakage Tree Data'!O32,"")</f>
        <v>16.9056752839046</v>
      </c>
      <c s="72">
        <f>IF('[1]Leakage Tree Data'!P32&lt;&gt;"",'[1]Leakage Tree Data'!P32,"")</f>
        <v>197254.574070453</v>
      </c>
      <c s="72">
        <f>IF('[1]Leakage Tree Data'!Q32&lt;&gt;"",'[1]Leakage Tree Data'!Q32,"")</f>
      </c>
      <c s="72">
        <f>IF('[1]Leakage Tree Data'!R32&lt;&gt;"",'[1]Leakage Tree Data'!R32,"")</f>
        <v>1017625.85098267</v>
      </c>
      <c s="72">
        <f>IF('[1]Leakage Tree Data'!S32&lt;&gt;"",'[1]Leakage Tree Data'!S32,"")</f>
        <v>-65266.0344238281</v>
      </c>
      <c s="72">
        <f>IF('[1]Leakage Tree Data'!T32&lt;&gt;"",'[1]Leakage Tree Data'!T32,"")</f>
        <v>-0.0629059673841752</v>
      </c>
      <c s="72">
        <f>IF('[1]Leakage Tree Data'!U32&lt;&gt;"",'[1]Leakage Tree Data'!U32,"")</f>
        <v>1082891.88540649</v>
      </c>
      <c s="72">
        <f>IF('[1]Leakage Tree Data'!V32&lt;&gt;"",'[1]Leakage Tree Data'!V32,"")</f>
        <v>0.0629059673841823</v>
      </c>
      <c s="72">
        <f>IF('[1]Leakage Tree Data'!W32&lt;&gt;"",'[1]Leakage Tree Data'!W32,"")</f>
        <v>-1855949.2237854</v>
      </c>
      <c s="72">
        <f>IF('[1]Leakage Tree Data'!X32&lt;&gt;"",'[1]Leakage Tree Data'!X32,"")</f>
      </c>
      <c s="72">
        <f>IF('[1]Leakage Tree Data'!Y32&lt;&gt;"",'[1]Leakage Tree Data'!Y32,"")</f>
      </c>
      <c s="72">
        <f>IF('[1]Leakage Tree Data'!Z32&lt;&gt;"",'[1]Leakage Tree Data'!Z32,"")</f>
      </c>
      <c s="72">
        <f>IF('[1]Leakage Tree Data'!AA32&lt;&gt;"",'[1]Leakage Tree Data'!AA32,"")</f>
      </c>
      <c s="72">
        <f>IF('[1]Leakage Tree Data'!AB32&lt;&gt;"",'[1]Leakage Tree Data'!AB32,"")</f>
      </c>
      <c s="72">
        <f>IF('[1]Leakage Tree Data'!AC32&lt;&gt;"",'[1]Leakage Tree Data'!AC32,"")</f>
      </c>
      <c s="72">
        <f>IF('[1]Leakage Tree Data'!AD32&lt;&gt;"",'[1]Leakage Tree Data'!AD32,"")</f>
        <v>-5.65016915239467</v>
      </c>
      <c s="72">
        <f>IF('[1]Leakage Tree Data'!AE32&lt;&gt;"",'[1]Leakage Tree Data'!AE32,"")</f>
      </c>
      <c s="73">
        <f t="shared" si="21"/>
      </c>
      <c s="73">
        <f t="shared" si="22"/>
      </c>
      <c s="73">
        <f t="shared" si="23"/>
      </c>
      <c s="73">
        <f t="shared" si="24"/>
      </c>
      <c s="74">
        <f t="shared" si="25"/>
      </c>
      <c s="74">
        <f t="shared" si="26"/>
      </c>
      <c s="69" t="str">
        <f t="shared" si="0"/>
        <v>Total US - A&amp;P</v>
      </c>
      <c s="69" t="str">
        <f t="shared" si="1"/>
        <v>Total US - GroceryX</v>
      </c>
      <c s="77"/>
    </row>
    <row r="134" spans="1:141" ht="15">
      <c r="A13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 t="shared" si="2"/>
      </c>
      <c s="76">
        <f t="shared" si="3"/>
      </c>
      <c s="75">
        <f t="shared" si="4"/>
      </c>
      <c s="76">
        <f t="shared" si="5"/>
      </c>
      <c s="75">
        <f t="shared" si="6"/>
      </c>
      <c s="76">
        <f t="shared" si="7"/>
      </c>
      <c s="75">
        <f t="shared" si="28"/>
      </c>
      <c s="76">
        <f t="shared" si="8"/>
      </c>
      <c s="75">
        <f t="shared" si="29"/>
      </c>
      <c s="76">
        <f t="shared" si="9"/>
      </c>
      <c s="75">
        <f t="shared" si="10"/>
      </c>
      <c s="76">
        <f t="shared" si="11"/>
      </c>
      <c s="75">
        <f t="shared" si="12"/>
        <v>2324381.02497864</v>
      </c>
      <c s="76">
        <f t="shared" si="13"/>
        <v>40</v>
      </c>
      <c s="75">
        <f t="shared" si="14"/>
      </c>
      <c s="76">
        <f t="shared" si="15"/>
      </c>
      <c s="75">
        <f t="shared" si="16"/>
      </c>
      <c s="76">
        <f t="shared" si="17"/>
      </c>
      <c s="75">
        <f t="shared" si="30"/>
      </c>
      <c s="76">
        <f t="shared" si="18"/>
      </c>
      <c s="65" t="str">
        <f t="shared" si="19"/>
        <v>Acme Market</v>
      </c>
      <c s="65" t="str">
        <f t="shared" si="20"/>
        <v>GroceryX</v>
      </c>
      <c s="72" t="str">
        <f>IF('[1]Leakage Tree Data'!A33&lt;&gt;"",'[1]Leakage Tree Data'!A33,"")</f>
        <v>Total US - Acme Market</v>
      </c>
      <c s="72" t="str">
        <f>IF('[1]Leakage Tree Data'!B33&lt;&gt;"",'[1]Leakage Tree Data'!B33,"")</f>
        <v>Total US - GroceryX</v>
      </c>
      <c s="72">
        <f>IF('[1]Leakage Tree Data'!C33&lt;&gt;"",'[1]Leakage Tree Data'!C33,"")</f>
        <v>121171760.292236</v>
      </c>
      <c s="72">
        <f>IF('[1]Leakage Tree Data'!D33&lt;&gt;"",'[1]Leakage Tree Data'!D33,"")</f>
        <v>2111672.67926025</v>
      </c>
      <c s="72">
        <f>IF('[1]Leakage Tree Data'!E33&lt;&gt;"",'[1]Leakage Tree Data'!E33,"")</f>
        <v>1.74271024384512</v>
      </c>
      <c s="72">
        <f>IF('[1]Leakage Tree Data'!F33&lt;&gt;"",'[1]Leakage Tree Data'!F33,"")</f>
        <v>119060087.612976</v>
      </c>
      <c s="72">
        <f>IF('[1]Leakage Tree Data'!G33&lt;&gt;"",'[1]Leakage Tree Data'!G33,"")</f>
        <v>98.2572897561549</v>
      </c>
      <c s="72">
        <f>IF('[1]Leakage Tree Data'!H33&lt;&gt;"",'[1]Leakage Tree Data'!H33,"")</f>
        <v>61518209.9918823</v>
      </c>
      <c s="72" t="str">
        <f>IF('[1]Leakage Tree Data'!I33&lt;&gt;"",'[1]Leakage Tree Data'!I33,"")</f>
        <v>GroceryX</v>
      </c>
      <c s="72">
        <f>IF('[1]Leakage Tree Data'!J33&lt;&gt;"",'[1]Leakage Tree Data'!J33,"")</f>
        <v>99.5415431498216</v>
      </c>
      <c s="72">
        <f>IF('[1]Leakage Tree Data'!K33&lt;&gt;"",'[1]Leakage Tree Data'!K33,"")</f>
        <v>282034.447814941</v>
      </c>
      <c s="72">
        <f>IF('[1]Leakage Tree Data'!L33&lt;&gt;"",'[1]Leakage Tree Data'!L33,"")</f>
      </c>
      <c s="72">
        <f>IF('[1]Leakage Tree Data'!M33&lt;&gt;"",'[1]Leakage Tree Data'!M33,"")</f>
        <v>2324381.02497864</v>
      </c>
      <c s="72">
        <f>IF('[1]Leakage Tree Data'!N33&lt;&gt;"",'[1]Leakage Tree Data'!N33,"")</f>
      </c>
      <c s="72">
        <f>IF('[1]Leakage Tree Data'!O33&lt;&gt;"",'[1]Leakage Tree Data'!O33,"")</f>
        <v>26.4217165794879</v>
      </c>
      <c s="72">
        <f>IF('[1]Leakage Tree Data'!P33&lt;&gt;"",'[1]Leakage Tree Data'!P33,"")</f>
        <v>460777.449415948</v>
      </c>
      <c s="72">
        <f>IF('[1]Leakage Tree Data'!Q33&lt;&gt;"",'[1]Leakage Tree Data'!Q33,"")</f>
      </c>
      <c s="72">
        <f>IF('[1]Leakage Tree Data'!R33&lt;&gt;"",'[1]Leakage Tree Data'!R33,"")</f>
        <v>1017625.85098267</v>
      </c>
      <c s="72">
        <f>IF('[1]Leakage Tree Data'!S33&lt;&gt;"",'[1]Leakage Tree Data'!S33,"")</f>
        <v>286357.514343262</v>
      </c>
      <c s="72">
        <f>IF('[1]Leakage Tree Data'!T33&lt;&gt;"",'[1]Leakage Tree Data'!T33,"")</f>
        <v>0.223565544076644</v>
      </c>
      <c s="72">
        <f>IF('[1]Leakage Tree Data'!U33&lt;&gt;"",'[1]Leakage Tree Data'!U33,"")</f>
        <v>731268.336639404</v>
      </c>
      <c s="72">
        <f>IF('[1]Leakage Tree Data'!V33&lt;&gt;"",'[1]Leakage Tree Data'!V33,"")</f>
        <v>-0.223565544076649</v>
      </c>
      <c s="72">
        <f>IF('[1]Leakage Tree Data'!W33&lt;&gt;"",'[1]Leakage Tree Data'!W33,"")</f>
        <v>-1855949.2237854</v>
      </c>
      <c s="72">
        <f>IF('[1]Leakage Tree Data'!X33&lt;&gt;"",'[1]Leakage Tree Data'!X33,"")</f>
      </c>
      <c s="72">
        <f>IF('[1]Leakage Tree Data'!Y33&lt;&gt;"",'[1]Leakage Tree Data'!Y33,"")</f>
        <v>0.0789551832783388</v>
      </c>
      <c s="72">
        <f>IF('[1]Leakage Tree Data'!Z33&lt;&gt;"",'[1]Leakage Tree Data'!Z33,"")</f>
        <v>-58545.9099121094</v>
      </c>
      <c s="72">
        <f>IF('[1]Leakage Tree Data'!AA33&lt;&gt;"",'[1]Leakage Tree Data'!AA33,"")</f>
      </c>
      <c s="72">
        <f>IF('[1]Leakage Tree Data'!AB33&lt;&gt;"",'[1]Leakage Tree Data'!AB33,"")</f>
        <v>-1144003.58778477</v>
      </c>
      <c s="72">
        <f>IF('[1]Leakage Tree Data'!AC33&lt;&gt;"",'[1]Leakage Tree Data'!AC33,"")</f>
      </c>
      <c s="72">
        <f>IF('[1]Leakage Tree Data'!AD33&lt;&gt;"",'[1]Leakage Tree Data'!AD33,"")</f>
        <v>-4.30306347221032</v>
      </c>
      <c s="72">
        <f>IF('[1]Leakage Tree Data'!AE33&lt;&gt;"",'[1]Leakage Tree Data'!AE33,"")</f>
      </c>
      <c s="73">
        <f t="shared" si="21"/>
      </c>
      <c s="73">
        <f t="shared" si="22"/>
      </c>
      <c s="73">
        <f t="shared" si="23"/>
      </c>
      <c s="73">
        <f t="shared" si="24"/>
      </c>
      <c s="74">
        <f t="shared" si="25"/>
      </c>
      <c s="74">
        <f t="shared" si="26"/>
      </c>
      <c s="69" t="str">
        <f t="shared" si="0"/>
        <v>Total US - Acme Market</v>
      </c>
      <c s="69" t="str">
        <f t="shared" si="1"/>
        <v>Total US - GroceryX</v>
      </c>
      <c s="77"/>
    </row>
    <row r="135" spans="1:141" ht="15">
      <c r="A13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 t="shared" si="2"/>
      </c>
      <c s="76">
        <f t="shared" si="3"/>
      </c>
      <c s="75">
        <f t="shared" si="4"/>
        <v>2645514.15057373</v>
      </c>
      <c s="76">
        <f t="shared" si="5"/>
        <v>19</v>
      </c>
      <c s="75">
        <f t="shared" si="6"/>
      </c>
      <c s="76">
        <f t="shared" si="7"/>
      </c>
      <c s="75">
        <f t="shared" si="28"/>
      </c>
      <c s="76">
        <f t="shared" si="8"/>
      </c>
      <c s="75">
        <f t="shared" si="29"/>
      </c>
      <c s="76">
        <f t="shared" si="9"/>
      </c>
      <c s="75">
        <f t="shared" si="10"/>
      </c>
      <c s="76">
        <f t="shared" si="11"/>
      </c>
      <c s="75">
        <f t="shared" si="12"/>
        <v>9334064.06549072</v>
      </c>
      <c s="76">
        <f t="shared" si="13"/>
        <v>13</v>
      </c>
      <c s="75">
        <f t="shared" si="14"/>
      </c>
      <c s="76">
        <f t="shared" si="15"/>
      </c>
      <c s="75">
        <f t="shared" si="16"/>
      </c>
      <c s="76">
        <f t="shared" si="17"/>
      </c>
      <c s="75">
        <f t="shared" si="30"/>
      </c>
      <c s="76">
        <f t="shared" si="18"/>
      </c>
      <c s="65" t="str">
        <f t="shared" si="19"/>
        <v>Albertsons</v>
      </c>
      <c s="65" t="str">
        <f t="shared" si="20"/>
        <v>GroceryX</v>
      </c>
      <c s="72" t="str">
        <f>IF('[1]Leakage Tree Data'!A34&lt;&gt;"",'[1]Leakage Tree Data'!A34,"")</f>
        <v>Total US - Albertsons</v>
      </c>
      <c s="72" t="str">
        <f>IF('[1]Leakage Tree Data'!B34&lt;&gt;"",'[1]Leakage Tree Data'!B34,"")</f>
        <v>Total US - GroceryX</v>
      </c>
      <c s="72">
        <f>IF('[1]Leakage Tree Data'!C34&lt;&gt;"",'[1]Leakage Tree Data'!C34,"")</f>
        <v>121171760.292236</v>
      </c>
      <c s="72">
        <f>IF('[1]Leakage Tree Data'!D34&lt;&gt;"",'[1]Leakage Tree Data'!D34,"")</f>
        <v>10854346.4588623</v>
      </c>
      <c s="72">
        <f>IF('[1]Leakage Tree Data'!E34&lt;&gt;"",'[1]Leakage Tree Data'!E34,"")</f>
        <v>8.95781858139578</v>
      </c>
      <c s="72">
        <f>IF('[1]Leakage Tree Data'!F34&lt;&gt;"",'[1]Leakage Tree Data'!F34,"")</f>
        <v>110317413.833374</v>
      </c>
      <c s="72">
        <f>IF('[1]Leakage Tree Data'!G34&lt;&gt;"",'[1]Leakage Tree Data'!G34,"")</f>
        <v>91.0421814186042</v>
      </c>
      <c s="72">
        <f>IF('[1]Leakage Tree Data'!H34&lt;&gt;"",'[1]Leakage Tree Data'!H34,"")</f>
        <v>61518209.9918823</v>
      </c>
      <c s="72" t="str">
        <f>IF('[1]Leakage Tree Data'!I34&lt;&gt;"",'[1]Leakage Tree Data'!I34,"")</f>
        <v>GroceryX</v>
      </c>
      <c s="72">
        <f>IF('[1]Leakage Tree Data'!J34&lt;&gt;"",'[1]Leakage Tree Data'!J34,"")</f>
        <v>98.1698851870579</v>
      </c>
      <c s="72">
        <f>IF('[1]Leakage Tree Data'!K34&lt;&gt;"",'[1]Leakage Tree Data'!K34,"")</f>
        <v>1125853.87371826</v>
      </c>
      <c s="72">
        <f>IF('[1]Leakage Tree Data'!L34&lt;&gt;"",'[1]Leakage Tree Data'!L34,"")</f>
        <v>2645514.15057373</v>
      </c>
      <c s="72">
        <f>IF('[1]Leakage Tree Data'!M34&lt;&gt;"",'[1]Leakage Tree Data'!M34,"")</f>
        <v>9334064.06549072</v>
      </c>
      <c s="72">
        <f>IF('[1]Leakage Tree Data'!N34&lt;&gt;"",'[1]Leakage Tree Data'!N34,"")</f>
        <v>2645514.15057373</v>
      </c>
      <c s="72">
        <f>IF('[1]Leakage Tree Data'!O34&lt;&gt;"",'[1]Leakage Tree Data'!O34,"")</f>
        <v>17.925755156572</v>
      </c>
      <c s="72">
        <f>IF('[1]Leakage Tree Data'!P34&lt;&gt;"",'[1]Leakage Tree Data'!P34,"")</f>
        <v>2041012.14365937</v>
      </c>
      <c s="72">
        <f>IF('[1]Leakage Tree Data'!Q34&lt;&gt;"",'[1]Leakage Tree Data'!Q34,"")</f>
      </c>
      <c s="72">
        <f>IF('[1]Leakage Tree Data'!R34&lt;&gt;"",'[1]Leakage Tree Data'!R34,"")</f>
        <v>1017625.85098267</v>
      </c>
      <c s="72">
        <f>IF('[1]Leakage Tree Data'!S34&lt;&gt;"",'[1]Leakage Tree Data'!S34,"")</f>
        <v>-785411.630859375</v>
      </c>
      <c s="72">
        <f>IF('[1]Leakage Tree Data'!T34&lt;&gt;"",'[1]Leakage Tree Data'!T34,"")</f>
        <v>-0.729536867377929</v>
      </c>
      <c s="72">
        <f>IF('[1]Leakage Tree Data'!U34&lt;&gt;"",'[1]Leakage Tree Data'!U34,"")</f>
        <v>1803037.48184204</v>
      </c>
      <c s="72">
        <f>IF('[1]Leakage Tree Data'!V34&lt;&gt;"",'[1]Leakage Tree Data'!V34,"")</f>
        <v>0.729536867377931</v>
      </c>
      <c s="72">
        <f>IF('[1]Leakage Tree Data'!W34&lt;&gt;"",'[1]Leakage Tree Data'!W34,"")</f>
        <v>-1855949.2237854</v>
      </c>
      <c s="72">
        <f>IF('[1]Leakage Tree Data'!X34&lt;&gt;"",'[1]Leakage Tree Data'!X34,"")</f>
      </c>
      <c s="72">
        <f>IF('[1]Leakage Tree Data'!Y34&lt;&gt;"",'[1]Leakage Tree Data'!Y34,"")</f>
        <v>0.544891333319427</v>
      </c>
      <c s="72">
        <f>IF('[1]Leakage Tree Data'!Z34&lt;&gt;"",'[1]Leakage Tree Data'!Z34,"")</f>
        <v>-379286.30279541</v>
      </c>
      <c s="72">
        <f>IF('[1]Leakage Tree Data'!AA34&lt;&gt;"",'[1]Leakage Tree Data'!AA34,"")</f>
        <v>-2563501.14738846</v>
      </c>
      <c s="72">
        <f>IF('[1]Leakage Tree Data'!AB34&lt;&gt;"",'[1]Leakage Tree Data'!AB34,"")</f>
        <v>-3027732.43192863</v>
      </c>
      <c s="72">
        <f>IF('[1]Leakage Tree Data'!AC34&lt;&gt;"",'[1]Leakage Tree Data'!AC34,"")</f>
        <v>-2563501.14738846</v>
      </c>
      <c s="72">
        <f>IF('[1]Leakage Tree Data'!AD34&lt;&gt;"",'[1]Leakage Tree Data'!AD34,"")</f>
        <v>-3.27403290101607</v>
      </c>
      <c s="72">
        <f>IF('[1]Leakage Tree Data'!AE34&lt;&gt;"",'[1]Leakage Tree Data'!AE34,"")</f>
      </c>
      <c s="73">
        <f t="shared" si="21"/>
      </c>
      <c s="73">
        <f t="shared" si="22"/>
      </c>
      <c s="73">
        <f t="shared" si="23"/>
      </c>
      <c s="73">
        <f t="shared" si="24"/>
      </c>
      <c s="74">
        <f t="shared" si="25"/>
      </c>
      <c s="74">
        <f t="shared" si="26"/>
      </c>
      <c s="69" t="str">
        <f t="shared" si="0"/>
        <v>Total US - Albertsons</v>
      </c>
      <c s="69" t="str">
        <f t="shared" si="1"/>
        <v>Total US - GroceryX</v>
      </c>
      <c s="77"/>
    </row>
    <row r="136" spans="1:141" ht="15">
      <c r="A13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 t="shared" si="2"/>
      </c>
      <c s="76">
        <f t="shared" si="3"/>
      </c>
      <c s="75">
        <f t="shared" si="4"/>
        <v>2258250.69799805</v>
      </c>
      <c s="76">
        <f t="shared" si="5"/>
        <v>20</v>
      </c>
      <c s="75">
        <f t="shared" si="6"/>
      </c>
      <c s="76">
        <f t="shared" si="7"/>
      </c>
      <c s="75">
        <f t="shared" si="28"/>
      </c>
      <c s="76">
        <f t="shared" si="8"/>
      </c>
      <c s="75">
        <f t="shared" si="29"/>
      </c>
      <c s="76">
        <f t="shared" si="9"/>
      </c>
      <c s="75">
        <f t="shared" si="10"/>
      </c>
      <c s="76">
        <f t="shared" si="11"/>
      </c>
      <c s="75">
        <f t="shared" si="12"/>
        <v>7887505.48884583</v>
      </c>
      <c s="76">
        <f t="shared" si="13"/>
        <v>18</v>
      </c>
      <c s="75">
        <f t="shared" si="14"/>
      </c>
      <c s="76">
        <f t="shared" si="15"/>
      </c>
      <c s="75">
        <f t="shared" si="16"/>
      </c>
      <c s="76">
        <f t="shared" si="17"/>
      </c>
      <c s="75">
        <f t="shared" si="30"/>
      </c>
      <c s="76">
        <f t="shared" si="18"/>
      </c>
      <c s="65" t="str">
        <f t="shared" si="19"/>
        <v>Aldi</v>
      </c>
      <c s="65" t="str">
        <f t="shared" si="20"/>
        <v>GroceryX</v>
      </c>
      <c s="72" t="str">
        <f>IF('[1]Leakage Tree Data'!A35&lt;&gt;"",'[1]Leakage Tree Data'!A35,"")</f>
        <v>Total US - Aldi</v>
      </c>
      <c s="72" t="str">
        <f>IF('[1]Leakage Tree Data'!B35&lt;&gt;"",'[1]Leakage Tree Data'!B35,"")</f>
        <v>Total US - GroceryX</v>
      </c>
      <c s="72">
        <f>IF('[1]Leakage Tree Data'!C35&lt;&gt;"",'[1]Leakage Tree Data'!C35,"")</f>
        <v>121171760.292236</v>
      </c>
      <c s="72">
        <f>IF('[1]Leakage Tree Data'!D35&lt;&gt;"",'[1]Leakage Tree Data'!D35,"")</f>
        <v>26503214.0120239</v>
      </c>
      <c s="72">
        <f>IF('[1]Leakage Tree Data'!E35&lt;&gt;"",'[1]Leakage Tree Data'!E35,"")</f>
        <v>21.8724345904563</v>
      </c>
      <c s="72">
        <f>IF('[1]Leakage Tree Data'!F35&lt;&gt;"",'[1]Leakage Tree Data'!F35,"")</f>
        <v>94668546.2802124</v>
      </c>
      <c s="72">
        <f>IF('[1]Leakage Tree Data'!G35&lt;&gt;"",'[1]Leakage Tree Data'!G35,"")</f>
        <v>78.1275654095437</v>
      </c>
      <c s="72">
        <f>IF('[1]Leakage Tree Data'!H35&lt;&gt;"",'[1]Leakage Tree Data'!H35,"")</f>
        <v>61518209.9918823</v>
      </c>
      <c s="72" t="str">
        <f>IF('[1]Leakage Tree Data'!I35&lt;&gt;"",'[1]Leakage Tree Data'!I35,"")</f>
        <v>GroceryX</v>
      </c>
      <c s="72">
        <f>IF('[1]Leakage Tree Data'!J35&lt;&gt;"",'[1]Leakage Tree Data'!J35,"")</f>
        <v>97.7138515847417</v>
      </c>
      <c s="72">
        <f>IF('[1]Leakage Tree Data'!K35&lt;&gt;"",'[1]Leakage Tree Data'!K35,"")</f>
        <v>1406397.58282471</v>
      </c>
      <c s="72">
        <f>IF('[1]Leakage Tree Data'!L35&lt;&gt;"",'[1]Leakage Tree Data'!L35,"")</f>
        <v>2258250.69799805</v>
      </c>
      <c s="72">
        <f>IF('[1]Leakage Tree Data'!M35&lt;&gt;"",'[1]Leakage Tree Data'!M35,"")</f>
        <v>7887505.48884583</v>
      </c>
      <c s="72">
        <f>IF('[1]Leakage Tree Data'!N35&lt;&gt;"",'[1]Leakage Tree Data'!N35,"")</f>
        <v>2258250.69799805</v>
      </c>
      <c s="72">
        <f>IF('[1]Leakage Tree Data'!O35&lt;&gt;"",'[1]Leakage Tree Data'!O35,"")</f>
        <v>10.0990621694951</v>
      </c>
      <c s="72">
        <f>IF('[1]Leakage Tree Data'!P35&lt;&gt;"",'[1]Leakage Tree Data'!P35,"")</f>
        <v>1833963.81307837</v>
      </c>
      <c s="72">
        <f>IF('[1]Leakage Tree Data'!Q35&lt;&gt;"",'[1]Leakage Tree Data'!Q35,"")</f>
      </c>
      <c s="72">
        <f>IF('[1]Leakage Tree Data'!R35&lt;&gt;"",'[1]Leakage Tree Data'!R35,"")</f>
        <v>1017625.85098267</v>
      </c>
      <c s="72">
        <f>IF('[1]Leakage Tree Data'!S35&lt;&gt;"",'[1]Leakage Tree Data'!S35,"")</f>
        <v>1529368.64562988</v>
      </c>
      <c s="72">
        <f>IF('[1]Leakage Tree Data'!T35&lt;&gt;"",'[1]Leakage Tree Data'!T35,"")</f>
        <v>1.08759395011667</v>
      </c>
      <c s="72">
        <f>IF('[1]Leakage Tree Data'!U35&lt;&gt;"",'[1]Leakage Tree Data'!U35,"")</f>
        <v>-511742.794647217</v>
      </c>
      <c s="72">
        <f>IF('[1]Leakage Tree Data'!V35&lt;&gt;"",'[1]Leakage Tree Data'!V35,"")</f>
        <v>-1.08759395011666</v>
      </c>
      <c s="72">
        <f>IF('[1]Leakage Tree Data'!W35&lt;&gt;"",'[1]Leakage Tree Data'!W35,"")</f>
        <v>-1855949.2237854</v>
      </c>
      <c s="72">
        <f>IF('[1]Leakage Tree Data'!X35&lt;&gt;"",'[1]Leakage Tree Data'!X35,"")</f>
      </c>
      <c s="72">
        <f>IF('[1]Leakage Tree Data'!Y35&lt;&gt;"",'[1]Leakage Tree Data'!Y35,"")</f>
        <v>0.0336746115504241</v>
      </c>
      <c s="72">
        <f>IF('[1]Leakage Tree Data'!Z35&lt;&gt;"",'[1]Leakage Tree Data'!Z35,"")</f>
        <v>-63770.7557067871</v>
      </c>
      <c s="72">
        <f>IF('[1]Leakage Tree Data'!AA35&lt;&gt;"",'[1]Leakage Tree Data'!AA35,"")</f>
        <v>-152850.542480469</v>
      </c>
      <c s="72">
        <f>IF('[1]Leakage Tree Data'!AB35&lt;&gt;"",'[1]Leakage Tree Data'!AB35,"")</f>
        <v>-1758864.33274841</v>
      </c>
      <c s="72">
        <f>IF('[1]Leakage Tree Data'!AC35&lt;&gt;"",'[1]Leakage Tree Data'!AC35,"")</f>
        <v>-152850.542480469</v>
      </c>
      <c s="72">
        <f>IF('[1]Leakage Tree Data'!AD35&lt;&gt;"",'[1]Leakage Tree Data'!AD35,"")</f>
        <v>-1.45663774223306</v>
      </c>
      <c s="72">
        <f>IF('[1]Leakage Tree Data'!AE35&lt;&gt;"",'[1]Leakage Tree Data'!AE35,"")</f>
      </c>
      <c s="73">
        <f t="shared" si="21"/>
      </c>
      <c s="73">
        <f t="shared" si="22"/>
      </c>
      <c s="73">
        <f t="shared" si="23"/>
      </c>
      <c s="73">
        <f t="shared" si="24"/>
      </c>
      <c s="74">
        <f t="shared" si="25"/>
      </c>
      <c s="74">
        <f t="shared" si="26"/>
      </c>
      <c s="69" t="str">
        <f t="shared" si="0"/>
        <v>Total US - Aldi</v>
      </c>
      <c s="69" t="str">
        <f t="shared" si="1"/>
        <v>Total US - GroceryX</v>
      </c>
      <c s="77"/>
    </row>
    <row r="137" spans="1:141" ht="15">
      <c r="A13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 t="shared" si="2"/>
      </c>
      <c s="76">
        <f t="shared" si="3"/>
      </c>
      <c s="75">
        <f t="shared" si="4"/>
      </c>
      <c s="76">
        <f t="shared" si="5"/>
      </c>
      <c s="75">
        <f t="shared" si="6"/>
      </c>
      <c s="76">
        <f t="shared" si="7"/>
      </c>
      <c s="75">
        <f t="shared" si="28"/>
      </c>
      <c s="76">
        <f t="shared" si="8"/>
      </c>
      <c s="75">
        <f t="shared" si="29"/>
      </c>
      <c s="76">
        <f t="shared" si="9"/>
      </c>
      <c s="75">
        <f t="shared" si="10"/>
      </c>
      <c s="76">
        <f t="shared" si="11"/>
      </c>
      <c s="75">
        <f t="shared" si="12"/>
        <v>6092387.56130981</v>
      </c>
      <c s="76">
        <f t="shared" si="13"/>
        <v>25</v>
      </c>
      <c s="75">
        <f t="shared" si="14"/>
      </c>
      <c s="76">
        <f t="shared" si="15"/>
      </c>
      <c s="75">
        <f t="shared" si="16"/>
      </c>
      <c s="76">
        <f t="shared" si="17"/>
      </c>
      <c s="75">
        <f t="shared" si="30"/>
      </c>
      <c s="76">
        <f t="shared" si="18"/>
      </c>
      <c s="65" t="str">
        <f t="shared" si="19"/>
        <v>BI Lo</v>
      </c>
      <c s="65" t="str">
        <f t="shared" si="20"/>
        <v>GroceryX</v>
      </c>
      <c s="72" t="str">
        <f>IF('[1]Leakage Tree Data'!A36&lt;&gt;"",'[1]Leakage Tree Data'!A36,"")</f>
        <v>Total US - BI Lo</v>
      </c>
      <c s="72" t="str">
        <f>IF('[1]Leakage Tree Data'!B36&lt;&gt;"",'[1]Leakage Tree Data'!B36,"")</f>
        <v>Total US - GroceryX</v>
      </c>
      <c s="72">
        <f>IF('[1]Leakage Tree Data'!C36&lt;&gt;"",'[1]Leakage Tree Data'!C36,"")</f>
        <v>121171760.292236</v>
      </c>
      <c s="72">
        <f>IF('[1]Leakage Tree Data'!D36&lt;&gt;"",'[1]Leakage Tree Data'!D36,"")</f>
        <v>2420141.44134521</v>
      </c>
      <c s="72">
        <f>IF('[1]Leakage Tree Data'!E36&lt;&gt;"",'[1]Leakage Tree Data'!E36,"")</f>
        <v>1.99728173916796</v>
      </c>
      <c s="72">
        <f>IF('[1]Leakage Tree Data'!F36&lt;&gt;"",'[1]Leakage Tree Data'!F36,"")</f>
        <v>118751618.850891</v>
      </c>
      <c s="72">
        <f>IF('[1]Leakage Tree Data'!G36&lt;&gt;"",'[1]Leakage Tree Data'!G36,"")</f>
        <v>98.002718260832</v>
      </c>
      <c s="72">
        <f>IF('[1]Leakage Tree Data'!H36&lt;&gt;"",'[1]Leakage Tree Data'!H36,"")</f>
        <v>61518209.9918823</v>
      </c>
      <c s="72" t="str">
        <f>IF('[1]Leakage Tree Data'!I36&lt;&gt;"",'[1]Leakage Tree Data'!I36,"")</f>
        <v>GroceryX</v>
      </c>
      <c s="72">
        <f>IF('[1]Leakage Tree Data'!J36&lt;&gt;"",'[1]Leakage Tree Data'!J36,"")</f>
        <v>99.3030707553149</v>
      </c>
      <c s="72">
        <f>IF('[1]Leakage Tree Data'!K36&lt;&gt;"",'[1]Leakage Tree Data'!K36,"")</f>
        <v>428738.396240234</v>
      </c>
      <c s="72">
        <f>IF('[1]Leakage Tree Data'!L36&lt;&gt;"",'[1]Leakage Tree Data'!L36,"")</f>
      </c>
      <c s="72">
        <f>IF('[1]Leakage Tree Data'!M36&lt;&gt;"",'[1]Leakage Tree Data'!M36,"")</f>
        <v>6092387.56130981</v>
      </c>
      <c s="72">
        <f>IF('[1]Leakage Tree Data'!N36&lt;&gt;"",'[1]Leakage Tree Data'!N36,"")</f>
      </c>
      <c s="72">
        <f>IF('[1]Leakage Tree Data'!O36&lt;&gt;"",'[1]Leakage Tree Data'!O36,"")</f>
        <v>35.9551970659519</v>
      </c>
      <c s="72">
        <f>IF('[1]Leakage Tree Data'!P36&lt;&gt;"",'[1]Leakage Tree Data'!P36,"")</f>
        <v>519610.589087687</v>
      </c>
      <c s="72">
        <f>IF('[1]Leakage Tree Data'!Q36&lt;&gt;"",'[1]Leakage Tree Data'!Q36,"")</f>
      </c>
      <c s="72">
        <f>IF('[1]Leakage Tree Data'!R36&lt;&gt;"",'[1]Leakage Tree Data'!R36,"")</f>
        <v>1017625.85098267</v>
      </c>
      <c s="72">
        <f>IF('[1]Leakage Tree Data'!S36&lt;&gt;"",'[1]Leakage Tree Data'!S36,"")</f>
        <v>-99463.617980957</v>
      </c>
      <c s="72">
        <f>IF('[1]Leakage Tree Data'!T36&lt;&gt;"",'[1]Leakage Tree Data'!T36,"")</f>
        <v>-0.0996956732556327</v>
      </c>
      <c s="72">
        <f>IF('[1]Leakage Tree Data'!U36&lt;&gt;"",'[1]Leakage Tree Data'!U36,"")</f>
        <v>1117089.46896362</v>
      </c>
      <c s="72">
        <f>IF('[1]Leakage Tree Data'!V36&lt;&gt;"",'[1]Leakage Tree Data'!V36,"")</f>
        <v>0.0996956732556384</v>
      </c>
      <c s="72">
        <f>IF('[1]Leakage Tree Data'!W36&lt;&gt;"",'[1]Leakage Tree Data'!W36,"")</f>
        <v>-1855949.2237854</v>
      </c>
      <c s="72">
        <f>IF('[1]Leakage Tree Data'!X36&lt;&gt;"",'[1]Leakage Tree Data'!X36,"")</f>
      </c>
      <c s="72">
        <f>IF('[1]Leakage Tree Data'!Y36&lt;&gt;"",'[1]Leakage Tree Data'!Y36,"")</f>
        <v>0.0159583353651271</v>
      </c>
      <c s="72">
        <f>IF('[1]Leakage Tree Data'!Z36&lt;&gt;"",'[1]Leakage Tree Data'!Z36,"")</f>
        <v>-23048.1137695313</v>
      </c>
      <c s="72">
        <f>IF('[1]Leakage Tree Data'!AA36&lt;&gt;"",'[1]Leakage Tree Data'!AA36,"")</f>
      </c>
      <c s="72">
        <f>IF('[1]Leakage Tree Data'!AB36&lt;&gt;"",'[1]Leakage Tree Data'!AB36,"")</f>
        <v>-1011973.00143433</v>
      </c>
      <c s="72">
        <f>IF('[1]Leakage Tree Data'!AC36&lt;&gt;"",'[1]Leakage Tree Data'!AC36,"")</f>
      </c>
      <c s="72">
        <f>IF('[1]Leakage Tree Data'!AD36&lt;&gt;"",'[1]Leakage Tree Data'!AD36,"")</f>
        <v>-2.40038077889431</v>
      </c>
      <c s="72">
        <f>IF('[1]Leakage Tree Data'!AE36&lt;&gt;"",'[1]Leakage Tree Data'!AE36,"")</f>
      </c>
      <c s="73">
        <f t="shared" si="21"/>
      </c>
      <c s="73">
        <f t="shared" si="22"/>
      </c>
      <c s="73">
        <f t="shared" si="23"/>
      </c>
      <c s="73">
        <f t="shared" si="24"/>
      </c>
      <c s="74">
        <f t="shared" si="25"/>
      </c>
      <c s="74">
        <f t="shared" si="26"/>
      </c>
      <c s="69" t="str">
        <f t="shared" si="0"/>
        <v>Total US - BI Lo</v>
      </c>
      <c s="69" t="str">
        <f t="shared" si="1"/>
        <v>Total US - GroceryX</v>
      </c>
      <c s="77"/>
    </row>
    <row r="138" spans="1:141" ht="15">
      <c r="A13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 t="shared" si="2"/>
      </c>
      <c s="76">
        <f t="shared" si="3"/>
      </c>
      <c s="75">
        <f t="shared" si="4"/>
      </c>
      <c s="76">
        <f t="shared" si="5"/>
      </c>
      <c s="75">
        <f t="shared" si="6"/>
      </c>
      <c s="76">
        <f t="shared" si="7"/>
      </c>
      <c s="75">
        <f t="shared" si="28"/>
      </c>
      <c s="76">
        <f t="shared" si="8"/>
      </c>
      <c s="75">
        <f t="shared" si="29"/>
      </c>
      <c s="76">
        <f t="shared" si="9"/>
      </c>
      <c s="75">
        <f t="shared" si="10"/>
      </c>
      <c s="76">
        <f t="shared" si="11"/>
      </c>
      <c s="75">
        <f t="shared" si="12"/>
      </c>
      <c s="76">
        <f t="shared" si="13"/>
      </c>
      <c s="75">
        <f t="shared" si="14"/>
      </c>
      <c s="76">
        <f t="shared" si="15"/>
      </c>
      <c s="75">
        <f t="shared" si="16"/>
      </c>
      <c s="76">
        <f t="shared" si="17"/>
      </c>
      <c s="75">
        <f t="shared" si="30"/>
      </c>
      <c s="76">
        <f t="shared" si="18"/>
      </c>
      <c s="65" t="str">
        <f t="shared" si="19"/>
        <v>Bashas</v>
      </c>
      <c s="65" t="str">
        <f t="shared" si="20"/>
        <v>GroceryX</v>
      </c>
      <c s="72" t="str">
        <f>IF('[1]Leakage Tree Data'!A37&lt;&gt;"",'[1]Leakage Tree Data'!A37,"")</f>
        <v>Total US - Bashas</v>
      </c>
      <c s="72" t="str">
        <f>IF('[1]Leakage Tree Data'!B37&lt;&gt;"",'[1]Leakage Tree Data'!B37,"")</f>
        <v>Total US - GroceryX</v>
      </c>
      <c s="72">
        <f>IF('[1]Leakage Tree Data'!C37&lt;&gt;"",'[1]Leakage Tree Data'!C37,"")</f>
        <v>121171760.292236</v>
      </c>
      <c s="72">
        <f>IF('[1]Leakage Tree Data'!D37&lt;&gt;"",'[1]Leakage Tree Data'!D37,"")</f>
        <v>812854.016479492</v>
      </c>
      <c s="72">
        <f>IF('[1]Leakage Tree Data'!E37&lt;&gt;"",'[1]Leakage Tree Data'!E37,"")</f>
        <v>0.6708279342638</v>
      </c>
      <c s="72">
        <f>IF('[1]Leakage Tree Data'!F37&lt;&gt;"",'[1]Leakage Tree Data'!F37,"")</f>
        <v>120358906.275757</v>
      </c>
      <c s="72">
        <f>IF('[1]Leakage Tree Data'!G37&lt;&gt;"",'[1]Leakage Tree Data'!G37,"")</f>
        <v>99.3291720657362</v>
      </c>
      <c s="72">
        <f>IF('[1]Leakage Tree Data'!H37&lt;&gt;"",'[1]Leakage Tree Data'!H37,"")</f>
        <v>61518209.9918823</v>
      </c>
      <c s="72" t="str">
        <f>IF('[1]Leakage Tree Data'!I37&lt;&gt;"",'[1]Leakage Tree Data'!I37,"")</f>
        <v>GroceryX</v>
      </c>
      <c s="72">
        <f>IF('[1]Leakage Tree Data'!J37&lt;&gt;"",'[1]Leakage Tree Data'!J37,"")</f>
      </c>
      <c s="72">
        <f>IF('[1]Leakage Tree Data'!K37&lt;&gt;"",'[1]Leakage Tree Data'!K37,"")</f>
      </c>
      <c s="72">
        <f>IF('[1]Leakage Tree Data'!L37&lt;&gt;"",'[1]Leakage Tree Data'!L37,"")</f>
      </c>
      <c s="72">
        <f>IF('[1]Leakage Tree Data'!M37&lt;&gt;"",'[1]Leakage Tree Data'!M37,"")</f>
      </c>
      <c s="72">
        <f>IF('[1]Leakage Tree Data'!N37&lt;&gt;"",'[1]Leakage Tree Data'!N37,"")</f>
      </c>
      <c s="72">
        <f>IF('[1]Leakage Tree Data'!O37&lt;&gt;"",'[1]Leakage Tree Data'!O37,"")</f>
        <v>13.8558120642382</v>
      </c>
      <c s="72">
        <f>IF('[1]Leakage Tree Data'!P37&lt;&gt;"",'[1]Leakage Tree Data'!P37,"")</f>
        <v>94517.464980823</v>
      </c>
      <c s="72">
        <f>IF('[1]Leakage Tree Data'!Q37&lt;&gt;"",'[1]Leakage Tree Data'!Q37,"")</f>
      </c>
      <c s="72">
        <f>IF('[1]Leakage Tree Data'!R37&lt;&gt;"",'[1]Leakage Tree Data'!R37,"")</f>
        <v>1017625.85098267</v>
      </c>
      <c s="72">
        <f>IF('[1]Leakage Tree Data'!S37&lt;&gt;"",'[1]Leakage Tree Data'!S37,"")</f>
        <v>-14816.9144287109</v>
      </c>
      <c s="72">
        <f>IF('[1]Leakage Tree Data'!T37&lt;&gt;"",'[1]Leakage Tree Data'!T37,"")</f>
        <v>-0.0180130571486696</v>
      </c>
      <c s="72">
        <f>IF('[1]Leakage Tree Data'!U37&lt;&gt;"",'[1]Leakage Tree Data'!U37,"")</f>
        <v>1032442.76541138</v>
      </c>
      <c s="72">
        <f>IF('[1]Leakage Tree Data'!V37&lt;&gt;"",'[1]Leakage Tree Data'!V37,"")</f>
        <v>0.0180130571486785</v>
      </c>
      <c s="72">
        <f>IF('[1]Leakage Tree Data'!W37&lt;&gt;"",'[1]Leakage Tree Data'!W37,"")</f>
        <v>-1855949.2237854</v>
      </c>
      <c s="72">
        <f>IF('[1]Leakage Tree Data'!X37&lt;&gt;"",'[1]Leakage Tree Data'!X37,"")</f>
      </c>
      <c s="72">
        <f>IF('[1]Leakage Tree Data'!Y37&lt;&gt;"",'[1]Leakage Tree Data'!Y37,"")</f>
      </c>
      <c s="72">
        <f>IF('[1]Leakage Tree Data'!Z37&lt;&gt;"",'[1]Leakage Tree Data'!Z37,"")</f>
      </c>
      <c s="72">
        <f>IF('[1]Leakage Tree Data'!AA37&lt;&gt;"",'[1]Leakage Tree Data'!AA37,"")</f>
      </c>
      <c s="72">
        <f>IF('[1]Leakage Tree Data'!AB37&lt;&gt;"",'[1]Leakage Tree Data'!AB37,"")</f>
      </c>
      <c s="72">
        <f>IF('[1]Leakage Tree Data'!AC37&lt;&gt;"",'[1]Leakage Tree Data'!AC37,"")</f>
      </c>
      <c s="72">
        <f>IF('[1]Leakage Tree Data'!AD37&lt;&gt;"",'[1]Leakage Tree Data'!AD37,"")</f>
        <v>-0.766598015518266</v>
      </c>
      <c s="72">
        <f>IF('[1]Leakage Tree Data'!AE37&lt;&gt;"",'[1]Leakage Tree Data'!AE37,"")</f>
      </c>
      <c s="73">
        <f t="shared" si="21"/>
      </c>
      <c s="73">
        <f t="shared" si="22"/>
      </c>
      <c s="73">
        <f t="shared" si="23"/>
      </c>
      <c s="73">
        <f t="shared" si="24"/>
      </c>
      <c s="74">
        <f t="shared" si="25"/>
      </c>
      <c s="74">
        <f t="shared" si="26"/>
      </c>
      <c s="69" t="str">
        <f t="shared" si="0"/>
        <v>Total US - Bashas</v>
      </c>
      <c s="69" t="str">
        <f t="shared" si="1"/>
        <v>Total US - GroceryX</v>
      </c>
      <c s="77"/>
    </row>
    <row r="139" spans="1:141" ht="15">
      <c r="A13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 t="shared" si="2"/>
      </c>
      <c s="76">
        <f t="shared" si="3"/>
      </c>
      <c s="75">
        <f t="shared" si="4"/>
      </c>
      <c s="76">
        <f t="shared" si="5"/>
      </c>
      <c s="75">
        <f t="shared" si="6"/>
      </c>
      <c s="76">
        <f t="shared" si="7"/>
      </c>
      <c s="75">
        <f t="shared" si="28"/>
      </c>
      <c s="76">
        <f t="shared" si="8"/>
      </c>
      <c s="75">
        <f t="shared" si="29"/>
      </c>
      <c s="76">
        <f t="shared" si="9"/>
      </c>
      <c s="75">
        <f t="shared" si="10"/>
      </c>
      <c s="76">
        <f t="shared" si="11"/>
      </c>
      <c s="75">
        <f t="shared" si="12"/>
        <v>1826152.99577332</v>
      </c>
      <c s="76">
        <f t="shared" si="13"/>
        <v>44</v>
      </c>
      <c s="75">
        <f t="shared" si="14"/>
      </c>
      <c s="76">
        <f t="shared" si="15"/>
      </c>
      <c s="75">
        <f t="shared" si="16"/>
      </c>
      <c s="76">
        <f t="shared" si="17"/>
      </c>
      <c s="75">
        <f t="shared" si="30"/>
      </c>
      <c s="76">
        <f t="shared" si="18"/>
      </c>
      <c s="65" t="str">
        <f t="shared" si="19"/>
        <v>Big Y</v>
      </c>
      <c s="65" t="str">
        <f t="shared" si="20"/>
        <v>GroceryX</v>
      </c>
      <c s="72" t="str">
        <f>IF('[1]Leakage Tree Data'!A38&lt;&gt;"",'[1]Leakage Tree Data'!A38,"")</f>
        <v>Total US - Big Y</v>
      </c>
      <c s="72" t="str">
        <f>IF('[1]Leakage Tree Data'!B38&lt;&gt;"",'[1]Leakage Tree Data'!B38,"")</f>
        <v>Total US - GroceryX</v>
      </c>
      <c s="72">
        <f>IF('[1]Leakage Tree Data'!C38&lt;&gt;"",'[1]Leakage Tree Data'!C38,"")</f>
        <v>121171760.292236</v>
      </c>
      <c s="72">
        <f>IF('[1]Leakage Tree Data'!D38&lt;&gt;"",'[1]Leakage Tree Data'!D38,"")</f>
        <v>1065618.60388184</v>
      </c>
      <c s="72">
        <f>IF('[1]Leakage Tree Data'!E38&lt;&gt;"",'[1]Leakage Tree Data'!E38,"")</f>
        <v>0.879428178076994</v>
      </c>
      <c s="72">
        <f>IF('[1]Leakage Tree Data'!F38&lt;&gt;"",'[1]Leakage Tree Data'!F38,"")</f>
        <v>120106141.688354</v>
      </c>
      <c s="72">
        <f>IF('[1]Leakage Tree Data'!G38&lt;&gt;"",'[1]Leakage Tree Data'!G38,"")</f>
        <v>99.120571821923</v>
      </c>
      <c s="72">
        <f>IF('[1]Leakage Tree Data'!H38&lt;&gt;"",'[1]Leakage Tree Data'!H38,"")</f>
        <v>61518209.9918823</v>
      </c>
      <c s="72" t="str">
        <f>IF('[1]Leakage Tree Data'!I38&lt;&gt;"",'[1]Leakage Tree Data'!I38,"")</f>
        <v>GroceryX</v>
      </c>
      <c s="72">
        <f>IF('[1]Leakage Tree Data'!J38&lt;&gt;"",'[1]Leakage Tree Data'!J38,"")</f>
        <v>99.7406746989465</v>
      </c>
      <c s="72">
        <f>IF('[1]Leakage Tree Data'!K38&lt;&gt;"",'[1]Leakage Tree Data'!K38,"")</f>
        <v>159532.28326416</v>
      </c>
      <c s="72">
        <f>IF('[1]Leakage Tree Data'!L38&lt;&gt;"",'[1]Leakage Tree Data'!L38,"")</f>
      </c>
      <c s="72">
        <f>IF('[1]Leakage Tree Data'!M38&lt;&gt;"",'[1]Leakage Tree Data'!M38,"")</f>
        <v>1826152.99577332</v>
      </c>
      <c s="72">
        <f>IF('[1]Leakage Tree Data'!N38&lt;&gt;"",'[1]Leakage Tree Data'!N38,"")</f>
      </c>
      <c s="72">
        <f>IF('[1]Leakage Tree Data'!O38&lt;&gt;"",'[1]Leakage Tree Data'!O38,"")</f>
        <v>34.3044974121143</v>
      </c>
      <c s="72">
        <f>IF('[1]Leakage Tree Data'!P38&lt;&gt;"",'[1]Leakage Tree Data'!P38,"")</f>
        <v>215483.978440996</v>
      </c>
      <c s="72">
        <f>IF('[1]Leakage Tree Data'!Q38&lt;&gt;"",'[1]Leakage Tree Data'!Q38,"")</f>
      </c>
      <c s="72">
        <f>IF('[1]Leakage Tree Data'!R38&lt;&gt;"",'[1]Leakage Tree Data'!R38,"")</f>
        <v>1017625.85098267</v>
      </c>
      <c s="72">
        <f>IF('[1]Leakage Tree Data'!S38&lt;&gt;"",'[1]Leakage Tree Data'!S38,"")</f>
        <v>-54598.8517456055</v>
      </c>
      <c s="72">
        <f>IF('[1]Leakage Tree Data'!T38&lt;&gt;"",'[1]Leakage Tree Data'!T38,"")</f>
        <v>-0.052888850243945</v>
      </c>
      <c s="72">
        <f>IF('[1]Leakage Tree Data'!U38&lt;&gt;"",'[1]Leakage Tree Data'!U38,"")</f>
        <v>1072224.70272827</v>
      </c>
      <c s="72">
        <f>IF('[1]Leakage Tree Data'!V38&lt;&gt;"",'[1]Leakage Tree Data'!V38,"")</f>
        <v>0.0528888502439457</v>
      </c>
      <c s="72">
        <f>IF('[1]Leakage Tree Data'!W38&lt;&gt;"",'[1]Leakage Tree Data'!W38,"")</f>
        <v>-1855949.2237854</v>
      </c>
      <c s="72">
        <f>IF('[1]Leakage Tree Data'!X38&lt;&gt;"",'[1]Leakage Tree Data'!X38,"")</f>
      </c>
      <c s="72">
        <f>IF('[1]Leakage Tree Data'!Y38&lt;&gt;"",'[1]Leakage Tree Data'!Y38,"")</f>
        <v>-0.00836495663533299</v>
      </c>
      <c s="72">
        <f>IF('[1]Leakage Tree Data'!Z38&lt;&gt;"",'[1]Leakage Tree Data'!Z38,"")</f>
        <v>488.275024414063</v>
      </c>
      <c s="72">
        <f>IF('[1]Leakage Tree Data'!AA38&lt;&gt;"",'[1]Leakage Tree Data'!AA38,"")</f>
      </c>
      <c s="72">
        <f>IF('[1]Leakage Tree Data'!AB38&lt;&gt;"",'[1]Leakage Tree Data'!AB38,"")</f>
        <v>376628.095626831</v>
      </c>
      <c s="72">
        <f>IF('[1]Leakage Tree Data'!AC38&lt;&gt;"",'[1]Leakage Tree Data'!AC38,"")</f>
      </c>
      <c s="72">
        <f>IF('[1]Leakage Tree Data'!AD38&lt;&gt;"",'[1]Leakage Tree Data'!AD38,"")</f>
        <v>1.6092276322647</v>
      </c>
      <c s="72">
        <f>IF('[1]Leakage Tree Data'!AE38&lt;&gt;"",'[1]Leakage Tree Data'!AE38,"")</f>
      </c>
      <c s="73">
        <f t="shared" si="21"/>
      </c>
      <c s="73">
        <f t="shared" si="22"/>
      </c>
      <c s="73">
        <f t="shared" si="23"/>
      </c>
      <c s="73">
        <f t="shared" si="24"/>
      </c>
      <c s="74">
        <f t="shared" si="25"/>
      </c>
      <c s="74">
        <f t="shared" si="26"/>
      </c>
      <c s="69" t="str">
        <f t="shared" si="0"/>
        <v>Total US - Big Y</v>
      </c>
      <c s="69" t="str">
        <f t="shared" si="1"/>
        <v>Total US - GroceryX</v>
      </c>
      <c s="77"/>
    </row>
    <row r="140" spans="1:141" ht="15">
      <c r="A14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 t="shared" si="2"/>
      </c>
      <c s="76">
        <f t="shared" si="3"/>
      </c>
      <c s="75">
        <f t="shared" si="4"/>
      </c>
      <c s="76">
        <f t="shared" si="5"/>
      </c>
      <c s="75">
        <f t="shared" si="6"/>
      </c>
      <c s="76">
        <f t="shared" si="7"/>
      </c>
      <c s="75">
        <f t="shared" si="28"/>
      </c>
      <c s="76">
        <f t="shared" si="8"/>
      </c>
      <c s="75">
        <f t="shared" si="29"/>
      </c>
      <c s="76">
        <f t="shared" si="9"/>
      </c>
      <c s="75">
        <f t="shared" si="10"/>
      </c>
      <c s="76">
        <f t="shared" si="11"/>
      </c>
      <c s="75">
        <f t="shared" si="12"/>
      </c>
      <c s="76">
        <f t="shared" si="13"/>
      </c>
      <c s="75">
        <f t="shared" si="14"/>
      </c>
      <c s="76">
        <f t="shared" si="15"/>
      </c>
      <c s="75">
        <f t="shared" si="16"/>
      </c>
      <c s="76">
        <f t="shared" si="17"/>
      </c>
      <c s="75">
        <f t="shared" si="30"/>
      </c>
      <c s="76">
        <f t="shared" si="18"/>
      </c>
      <c s="65" t="str">
        <f t="shared" si="19"/>
        <v>Bottom Dollar</v>
      </c>
      <c s="65" t="str">
        <f t="shared" si="20"/>
        <v>GroceryX</v>
      </c>
      <c s="72" t="str">
        <f>IF('[1]Leakage Tree Data'!A39&lt;&gt;"",'[1]Leakage Tree Data'!A39,"")</f>
        <v>Total US - Bottom Dollar</v>
      </c>
      <c s="72" t="str">
        <f>IF('[1]Leakage Tree Data'!B39&lt;&gt;"",'[1]Leakage Tree Data'!B39,"")</f>
        <v>Total US - GroceryX</v>
      </c>
      <c s="72">
        <f>IF('[1]Leakage Tree Data'!C39&lt;&gt;"",'[1]Leakage Tree Data'!C39,"")</f>
        <v>121171760.292236</v>
      </c>
      <c s="72">
        <f>IF('[1]Leakage Tree Data'!D39&lt;&gt;"",'[1]Leakage Tree Data'!D39,"")</f>
      </c>
      <c s="72">
        <f>IF('[1]Leakage Tree Data'!E39&lt;&gt;"",'[1]Leakage Tree Data'!E39,"")</f>
      </c>
      <c s="72">
        <f>IF('[1]Leakage Tree Data'!F39&lt;&gt;"",'[1]Leakage Tree Data'!F39,"")</f>
      </c>
      <c s="72">
        <f>IF('[1]Leakage Tree Data'!G39&lt;&gt;"",'[1]Leakage Tree Data'!G39,"")</f>
      </c>
      <c s="72">
        <f>IF('[1]Leakage Tree Data'!H39&lt;&gt;"",'[1]Leakage Tree Data'!H39,"")</f>
        <v>61518209.9918823</v>
      </c>
      <c s="72" t="str">
        <f>IF('[1]Leakage Tree Data'!I39&lt;&gt;"",'[1]Leakage Tree Data'!I39,"")</f>
        <v>GroceryX</v>
      </c>
      <c s="72">
        <f>IF('[1]Leakage Tree Data'!J39&lt;&gt;"",'[1]Leakage Tree Data'!J39,"")</f>
      </c>
      <c s="72">
        <f>IF('[1]Leakage Tree Data'!K39&lt;&gt;"",'[1]Leakage Tree Data'!K39,"")</f>
      </c>
      <c s="72">
        <f>IF('[1]Leakage Tree Data'!L39&lt;&gt;"",'[1]Leakage Tree Data'!L39,"")</f>
      </c>
      <c s="72">
        <f>IF('[1]Leakage Tree Data'!M39&lt;&gt;"",'[1]Leakage Tree Data'!M39,"")</f>
      </c>
      <c s="72">
        <f>IF('[1]Leakage Tree Data'!N39&lt;&gt;"",'[1]Leakage Tree Data'!N39,"")</f>
      </c>
      <c s="72">
        <f>IF('[1]Leakage Tree Data'!O39&lt;&gt;"",'[1]Leakage Tree Data'!O39,"")</f>
      </c>
      <c s="72">
        <f>IF('[1]Leakage Tree Data'!P39&lt;&gt;"",'[1]Leakage Tree Data'!P39,"")</f>
      </c>
      <c s="72">
        <f>IF('[1]Leakage Tree Data'!Q39&lt;&gt;"",'[1]Leakage Tree Data'!Q39,"")</f>
      </c>
      <c s="72">
        <f>IF('[1]Leakage Tree Data'!R39&lt;&gt;"",'[1]Leakage Tree Data'!R39,"")</f>
        <v>1017625.85098267</v>
      </c>
      <c s="72">
        <f>IF('[1]Leakage Tree Data'!S39&lt;&gt;"",'[1]Leakage Tree Data'!S39,"")</f>
      </c>
      <c s="72">
        <f>IF('[1]Leakage Tree Data'!T39&lt;&gt;"",'[1]Leakage Tree Data'!T39,"")</f>
      </c>
      <c s="72">
        <f>IF('[1]Leakage Tree Data'!U39&lt;&gt;"",'[1]Leakage Tree Data'!U39,"")</f>
      </c>
      <c s="72">
        <f>IF('[1]Leakage Tree Data'!V39&lt;&gt;"",'[1]Leakage Tree Data'!V39,"")</f>
      </c>
      <c s="72">
        <f>IF('[1]Leakage Tree Data'!W39&lt;&gt;"",'[1]Leakage Tree Data'!W39,"")</f>
        <v>-1855949.2237854</v>
      </c>
      <c s="72">
        <f>IF('[1]Leakage Tree Data'!X39&lt;&gt;"",'[1]Leakage Tree Data'!X39,"")</f>
      </c>
      <c s="72">
        <f>IF('[1]Leakage Tree Data'!Y39&lt;&gt;"",'[1]Leakage Tree Data'!Y39,"")</f>
      </c>
      <c s="72">
        <f>IF('[1]Leakage Tree Data'!Z39&lt;&gt;"",'[1]Leakage Tree Data'!Z39,"")</f>
      </c>
      <c s="72">
        <f>IF('[1]Leakage Tree Data'!AA39&lt;&gt;"",'[1]Leakage Tree Data'!AA39,"")</f>
      </c>
      <c s="72">
        <f>IF('[1]Leakage Tree Data'!AB39&lt;&gt;"",'[1]Leakage Tree Data'!AB39,"")</f>
      </c>
      <c s="72">
        <f>IF('[1]Leakage Tree Data'!AC39&lt;&gt;"",'[1]Leakage Tree Data'!AC39,"")</f>
      </c>
      <c s="72">
        <f>IF('[1]Leakage Tree Data'!AD39&lt;&gt;"",'[1]Leakage Tree Data'!AD39,"")</f>
      </c>
      <c s="72">
        <f>IF('[1]Leakage Tree Data'!AE39&lt;&gt;"",'[1]Leakage Tree Data'!AE39,"")</f>
      </c>
      <c s="73">
        <f t="shared" si="21"/>
      </c>
      <c s="73">
        <f t="shared" si="22"/>
      </c>
      <c s="73">
        <f t="shared" si="23"/>
      </c>
      <c s="73">
        <f t="shared" si="24"/>
      </c>
      <c s="74">
        <f t="shared" si="25"/>
      </c>
      <c s="74">
        <f t="shared" si="26"/>
      </c>
      <c s="69" t="str">
        <f t="shared" si="0"/>
        <v>Total US - Bottom Dollar</v>
      </c>
      <c s="69" t="str">
        <f t="shared" si="1"/>
        <v>Total US - GroceryX</v>
      </c>
      <c s="77"/>
    </row>
    <row r="141" spans="1:141" ht="15">
      <c r="A14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 t="shared" si="2"/>
      </c>
      <c s="76">
        <f t="shared" si="3"/>
      </c>
      <c s="75">
        <f t="shared" si="4"/>
      </c>
      <c s="76">
        <f t="shared" si="5"/>
      </c>
      <c s="75">
        <f t="shared" si="6"/>
      </c>
      <c s="76">
        <f t="shared" si="7"/>
      </c>
      <c s="75">
        <f t="shared" si="28"/>
      </c>
      <c s="76">
        <f t="shared" si="8"/>
      </c>
      <c s="75">
        <f t="shared" si="29"/>
      </c>
      <c s="76">
        <f t="shared" si="9"/>
      </c>
      <c s="75">
        <f t="shared" si="10"/>
      </c>
      <c s="76">
        <f t="shared" si="11"/>
      </c>
      <c s="75">
        <f t="shared" si="12"/>
      </c>
      <c s="76">
        <f t="shared" si="13"/>
      </c>
      <c s="75">
        <f t="shared" si="14"/>
      </c>
      <c s="76">
        <f t="shared" si="15"/>
      </c>
      <c s="75">
        <f t="shared" si="16"/>
      </c>
      <c s="76">
        <f t="shared" si="17"/>
      </c>
      <c s="75">
        <f t="shared" si="30"/>
      </c>
      <c s="76">
        <f t="shared" si="18"/>
      </c>
      <c s="65" t="str">
        <f t="shared" si="19"/>
        <v>Brookshire Foods</v>
      </c>
      <c s="65" t="str">
        <f t="shared" si="20"/>
        <v>GroceryX</v>
      </c>
      <c s="72" t="str">
        <f>IF('[1]Leakage Tree Data'!A40&lt;&gt;"",'[1]Leakage Tree Data'!A40,"")</f>
        <v>Total US - Brookshire Foods</v>
      </c>
      <c s="72" t="str">
        <f>IF('[1]Leakage Tree Data'!B40&lt;&gt;"",'[1]Leakage Tree Data'!B40,"")</f>
        <v>Total US - GroceryX</v>
      </c>
      <c s="72">
        <f>IF('[1]Leakage Tree Data'!C40&lt;&gt;"",'[1]Leakage Tree Data'!C40,"")</f>
        <v>121171760.292236</v>
      </c>
      <c s="72">
        <f>IF('[1]Leakage Tree Data'!D40&lt;&gt;"",'[1]Leakage Tree Data'!D40,"")</f>
        <v>911403.295959473</v>
      </c>
      <c s="72">
        <f>IF('[1]Leakage Tree Data'!E40&lt;&gt;"",'[1]Leakage Tree Data'!E40,"")</f>
        <v>0.752158170980923</v>
      </c>
      <c s="72">
        <f>IF('[1]Leakage Tree Data'!F40&lt;&gt;"",'[1]Leakage Tree Data'!F40,"")</f>
        <v>120260356.996277</v>
      </c>
      <c s="72">
        <f>IF('[1]Leakage Tree Data'!G40&lt;&gt;"",'[1]Leakage Tree Data'!G40,"")</f>
        <v>99.2478418290191</v>
      </c>
      <c s="72">
        <f>IF('[1]Leakage Tree Data'!H40&lt;&gt;"",'[1]Leakage Tree Data'!H40,"")</f>
        <v>61518209.9918823</v>
      </c>
      <c s="72" t="str">
        <f>IF('[1]Leakage Tree Data'!I40&lt;&gt;"",'[1]Leakage Tree Data'!I40,"")</f>
        <v>GroceryX</v>
      </c>
      <c s="72">
        <f>IF('[1]Leakage Tree Data'!J40&lt;&gt;"",'[1]Leakage Tree Data'!J40,"")</f>
      </c>
      <c s="72">
        <f>IF('[1]Leakage Tree Data'!K40&lt;&gt;"",'[1]Leakage Tree Data'!K40,"")</f>
      </c>
      <c s="72">
        <f>IF('[1]Leakage Tree Data'!L40&lt;&gt;"",'[1]Leakage Tree Data'!L40,"")</f>
      </c>
      <c s="72">
        <f>IF('[1]Leakage Tree Data'!M40&lt;&gt;"",'[1]Leakage Tree Data'!M40,"")</f>
      </c>
      <c s="72">
        <f>IF('[1]Leakage Tree Data'!N40&lt;&gt;"",'[1]Leakage Tree Data'!N40,"")</f>
      </c>
      <c s="72">
        <f>IF('[1]Leakage Tree Data'!O40&lt;&gt;"",'[1]Leakage Tree Data'!O40,"")</f>
        <v>24.0924933659968</v>
      </c>
      <c s="72">
        <f>IF('[1]Leakage Tree Data'!P40&lt;&gt;"",'[1]Leakage Tree Data'!P40,"")</f>
        <v>167453.018079127</v>
      </c>
      <c s="72">
        <f>IF('[1]Leakage Tree Data'!Q40&lt;&gt;"",'[1]Leakage Tree Data'!Q40,"")</f>
      </c>
      <c s="72">
        <f>IF('[1]Leakage Tree Data'!R40&lt;&gt;"",'[1]Leakage Tree Data'!R40,"")</f>
        <v>1017625.85098267</v>
      </c>
      <c s="72">
        <f>IF('[1]Leakage Tree Data'!S40&lt;&gt;"",'[1]Leakage Tree Data'!S40,"")</f>
        <v>32622.8024291992</v>
      </c>
      <c s="72">
        <f>IF('[1]Leakage Tree Data'!T40&lt;&gt;"",'[1]Leakage Tree Data'!T40,"")</f>
        <v>0.0207805137602042</v>
      </c>
      <c s="72">
        <f>IF('[1]Leakage Tree Data'!U40&lt;&gt;"",'[1]Leakage Tree Data'!U40,"")</f>
        <v>985003.048553467</v>
      </c>
      <c s="72">
        <f>IF('[1]Leakage Tree Data'!V40&lt;&gt;"",'[1]Leakage Tree Data'!V40,"")</f>
        <v>-0.0207805137602008</v>
      </c>
      <c s="72">
        <f>IF('[1]Leakage Tree Data'!W40&lt;&gt;"",'[1]Leakage Tree Data'!W40,"")</f>
        <v>-1855949.2237854</v>
      </c>
      <c s="72">
        <f>IF('[1]Leakage Tree Data'!X40&lt;&gt;"",'[1]Leakage Tree Data'!X40,"")</f>
      </c>
      <c s="72">
        <f>IF('[1]Leakage Tree Data'!Y40&lt;&gt;"",'[1]Leakage Tree Data'!Y40,"")</f>
      </c>
      <c s="72">
        <f>IF('[1]Leakage Tree Data'!Z40&lt;&gt;"",'[1]Leakage Tree Data'!Z40,"")</f>
      </c>
      <c s="72">
        <f>IF('[1]Leakage Tree Data'!AA40&lt;&gt;"",'[1]Leakage Tree Data'!AA40,"")</f>
      </c>
      <c s="72">
        <f>IF('[1]Leakage Tree Data'!AB40&lt;&gt;"",'[1]Leakage Tree Data'!AB40,"")</f>
      </c>
      <c s="72">
        <f>IF('[1]Leakage Tree Data'!AC40&lt;&gt;"",'[1]Leakage Tree Data'!AC40,"")</f>
      </c>
      <c s="72">
        <f>IF('[1]Leakage Tree Data'!AD40&lt;&gt;"",'[1]Leakage Tree Data'!AD40,"")</f>
        <v>1.11054535990552</v>
      </c>
      <c s="72">
        <f>IF('[1]Leakage Tree Data'!AE40&lt;&gt;"",'[1]Leakage Tree Data'!AE40,"")</f>
      </c>
      <c s="73">
        <f t="shared" si="21"/>
      </c>
      <c s="73">
        <f t="shared" si="22"/>
      </c>
      <c s="73">
        <f t="shared" si="23"/>
      </c>
      <c s="73">
        <f t="shared" si="24"/>
      </c>
      <c s="74">
        <f t="shared" si="25"/>
      </c>
      <c s="74">
        <f t="shared" si="26"/>
      </c>
      <c s="69" t="str">
        <f t="shared" si="0"/>
        <v>Total US - Brookshire Foods</v>
      </c>
      <c s="69" t="str">
        <f t="shared" si="1"/>
        <v>Total US - GroceryX</v>
      </c>
      <c s="77"/>
    </row>
    <row r="142" spans="1:141" ht="15">
      <c r="A14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 t="shared" si="2"/>
      </c>
      <c s="76">
        <f t="shared" si="3"/>
      </c>
      <c s="75">
        <f t="shared" si="4"/>
      </c>
      <c s="76">
        <f t="shared" si="5"/>
      </c>
      <c s="75">
        <f t="shared" si="6"/>
      </c>
      <c s="76">
        <f t="shared" si="7"/>
      </c>
      <c s="75">
        <f t="shared" si="28"/>
      </c>
      <c s="76">
        <f t="shared" si="8"/>
      </c>
      <c s="75">
        <f t="shared" si="29"/>
      </c>
      <c s="76">
        <f t="shared" si="9"/>
      </c>
      <c s="75">
        <f t="shared" si="10"/>
      </c>
      <c s="76">
        <f t="shared" si="11"/>
      </c>
      <c s="75">
        <f t="shared" si="12"/>
      </c>
      <c s="76">
        <f t="shared" si="13"/>
      </c>
      <c s="75">
        <f t="shared" si="14"/>
      </c>
      <c s="76">
        <f t="shared" si="15"/>
      </c>
      <c s="75">
        <f t="shared" si="16"/>
      </c>
      <c s="76">
        <f t="shared" si="17"/>
      </c>
      <c s="75">
        <f t="shared" si="30"/>
      </c>
      <c s="76">
        <f t="shared" si="18"/>
      </c>
      <c s="65" t="str">
        <f t="shared" si="19"/>
        <v>C Town</v>
      </c>
      <c s="65" t="str">
        <f t="shared" si="20"/>
        <v>GroceryX</v>
      </c>
      <c s="72" t="str">
        <f>IF('[1]Leakage Tree Data'!A41&lt;&gt;"",'[1]Leakage Tree Data'!A41,"")</f>
        <v>Total US - C Town</v>
      </c>
      <c s="72" t="str">
        <f>IF('[1]Leakage Tree Data'!B41&lt;&gt;"",'[1]Leakage Tree Data'!B41,"")</f>
        <v>Total US - GroceryX</v>
      </c>
      <c s="72">
        <f>IF('[1]Leakage Tree Data'!C41&lt;&gt;"",'[1]Leakage Tree Data'!C41,"")</f>
        <v>121171760.292236</v>
      </c>
      <c s="72">
        <f>IF('[1]Leakage Tree Data'!D41&lt;&gt;"",'[1]Leakage Tree Data'!D41,"")</f>
        <v>782622.565979004</v>
      </c>
      <c s="72">
        <f>IF('[1]Leakage Tree Data'!E41&lt;&gt;"",'[1]Leakage Tree Data'!E41,"")</f>
        <v>0.645878680058383</v>
      </c>
      <c s="72">
        <f>IF('[1]Leakage Tree Data'!F41&lt;&gt;"",'[1]Leakage Tree Data'!F41,"")</f>
        <v>120389137.726257</v>
      </c>
      <c s="72">
        <f>IF('[1]Leakage Tree Data'!G41&lt;&gt;"",'[1]Leakage Tree Data'!G41,"")</f>
        <v>99.3541213199416</v>
      </c>
      <c s="72">
        <f>IF('[1]Leakage Tree Data'!H41&lt;&gt;"",'[1]Leakage Tree Data'!H41,"")</f>
        <v>61518209.9918823</v>
      </c>
      <c s="72" t="str">
        <f>IF('[1]Leakage Tree Data'!I41&lt;&gt;"",'[1]Leakage Tree Data'!I41,"")</f>
        <v>GroceryX</v>
      </c>
      <c s="72">
        <f>IF('[1]Leakage Tree Data'!J41&lt;&gt;"",'[1]Leakage Tree Data'!J41,"")</f>
      </c>
      <c s="72">
        <f>IF('[1]Leakage Tree Data'!K41&lt;&gt;"",'[1]Leakage Tree Data'!K41,"")</f>
      </c>
      <c s="72">
        <f>IF('[1]Leakage Tree Data'!L41&lt;&gt;"",'[1]Leakage Tree Data'!L41,"")</f>
      </c>
      <c s="72">
        <f>IF('[1]Leakage Tree Data'!M41&lt;&gt;"",'[1]Leakage Tree Data'!M41,"")</f>
      </c>
      <c s="72">
        <f>IF('[1]Leakage Tree Data'!N41&lt;&gt;"",'[1]Leakage Tree Data'!N41,"")</f>
      </c>
      <c s="72">
        <f>IF('[1]Leakage Tree Data'!O41&lt;&gt;"",'[1]Leakage Tree Data'!O41,"")</f>
        <v>18.0254174215079</v>
      </c>
      <c s="72">
        <f>IF('[1]Leakage Tree Data'!P41&lt;&gt;"",'[1]Leakage Tree Data'!P41,"")</f>
        <v>152116.846152938</v>
      </c>
      <c s="72">
        <f>IF('[1]Leakage Tree Data'!Q41&lt;&gt;"",'[1]Leakage Tree Data'!Q41,"")</f>
      </c>
      <c s="72">
        <f>IF('[1]Leakage Tree Data'!R41&lt;&gt;"",'[1]Leakage Tree Data'!R41,"")</f>
        <v>1017625.85098267</v>
      </c>
      <c s="72">
        <f>IF('[1]Leakage Tree Data'!S41&lt;&gt;"",'[1]Leakage Tree Data'!S41,"")</f>
        <v>-14901.161315918</v>
      </c>
      <c s="72">
        <f>IF('[1]Leakage Tree Data'!T41&lt;&gt;"",'[1]Leakage Tree Data'!T41,"")</f>
        <v>-0.0178718691870539</v>
      </c>
      <c s="72">
        <f>IF('[1]Leakage Tree Data'!U41&lt;&gt;"",'[1]Leakage Tree Data'!U41,"")</f>
        <v>1032527.01229858</v>
      </c>
      <c s="72">
        <f>IF('[1]Leakage Tree Data'!V41&lt;&gt;"",'[1]Leakage Tree Data'!V41,"")</f>
        <v>0.0178718691870472</v>
      </c>
      <c s="72">
        <f>IF('[1]Leakage Tree Data'!W41&lt;&gt;"",'[1]Leakage Tree Data'!W41,"")</f>
        <v>-1855949.2237854</v>
      </c>
      <c s="72">
        <f>IF('[1]Leakage Tree Data'!X41&lt;&gt;"",'[1]Leakage Tree Data'!X41,"")</f>
      </c>
      <c s="72">
        <f>IF('[1]Leakage Tree Data'!Y41&lt;&gt;"",'[1]Leakage Tree Data'!Y41,"")</f>
      </c>
      <c s="72">
        <f>IF('[1]Leakage Tree Data'!Z41&lt;&gt;"",'[1]Leakage Tree Data'!Z41,"")</f>
      </c>
      <c s="72">
        <f>IF('[1]Leakage Tree Data'!AA41&lt;&gt;"",'[1]Leakage Tree Data'!AA41,"")</f>
      </c>
      <c s="72">
        <f>IF('[1]Leakage Tree Data'!AB41&lt;&gt;"",'[1]Leakage Tree Data'!AB41,"")</f>
      </c>
      <c s="72">
        <f>IF('[1]Leakage Tree Data'!AC41&lt;&gt;"",'[1]Leakage Tree Data'!AC41,"")</f>
      </c>
      <c s="72">
        <f>IF('[1]Leakage Tree Data'!AD41&lt;&gt;"",'[1]Leakage Tree Data'!AD41,"")</f>
        <v>-1.82772389742637</v>
      </c>
      <c s="72">
        <f>IF('[1]Leakage Tree Data'!AE41&lt;&gt;"",'[1]Leakage Tree Data'!AE41,"")</f>
      </c>
      <c s="73">
        <f t="shared" si="21"/>
      </c>
      <c s="73">
        <f t="shared" si="22"/>
      </c>
      <c s="73">
        <f t="shared" si="23"/>
      </c>
      <c s="73">
        <f t="shared" si="24"/>
      </c>
      <c s="74">
        <f t="shared" si="25"/>
      </c>
      <c s="74">
        <f t="shared" si="26"/>
      </c>
      <c s="69" t="str">
        <f t="shared" si="0"/>
        <v>Total US - C Town</v>
      </c>
      <c s="69" t="str">
        <f t="shared" si="1"/>
        <v>Total US - GroceryX</v>
      </c>
      <c s="77"/>
    </row>
    <row r="143" spans="1:141" ht="15">
      <c r="A14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 t="shared" si="2"/>
      </c>
      <c s="76">
        <f t="shared" si="3"/>
      </c>
      <c s="75">
        <f t="shared" si="4"/>
        <v>1977933.65781403</v>
      </c>
      <c s="76">
        <f t="shared" si="5"/>
        <v>23</v>
      </c>
      <c s="75">
        <f t="shared" si="6"/>
      </c>
      <c s="76">
        <f t="shared" si="7"/>
      </c>
      <c s="75">
        <f t="shared" si="28"/>
      </c>
      <c s="76">
        <f t="shared" si="8"/>
      </c>
      <c s="75">
        <f t="shared" si="29"/>
      </c>
      <c s="76">
        <f t="shared" si="9"/>
      </c>
      <c s="75">
        <f t="shared" si="10"/>
      </c>
      <c s="76">
        <f t="shared" si="11"/>
      </c>
      <c s="75">
        <f t="shared" si="12"/>
        <v>2532345.04463196</v>
      </c>
      <c s="76">
        <f t="shared" si="13"/>
        <v>38</v>
      </c>
      <c s="75">
        <f t="shared" si="14"/>
      </c>
      <c s="76">
        <f t="shared" si="15"/>
      </c>
      <c s="75">
        <f t="shared" si="16"/>
      </c>
      <c s="76">
        <f t="shared" si="17"/>
      </c>
      <c s="75">
        <f t="shared" si="30"/>
      </c>
      <c s="76">
        <f t="shared" si="18"/>
      </c>
      <c s="65" t="str">
        <f t="shared" si="19"/>
        <v>Cub Foods</v>
      </c>
      <c s="65" t="str">
        <f t="shared" si="20"/>
        <v>GroceryX</v>
      </c>
      <c s="72" t="str">
        <f>IF('[1]Leakage Tree Data'!A42&lt;&gt;"",'[1]Leakage Tree Data'!A42,"")</f>
        <v>Total US - Cub Foods</v>
      </c>
      <c s="72" t="str">
        <f>IF('[1]Leakage Tree Data'!B42&lt;&gt;"",'[1]Leakage Tree Data'!B42,"")</f>
        <v>Total US - GroceryX</v>
      </c>
      <c s="72">
        <f>IF('[1]Leakage Tree Data'!C42&lt;&gt;"",'[1]Leakage Tree Data'!C42,"")</f>
        <v>121171760.292236</v>
      </c>
      <c s="72">
        <f>IF('[1]Leakage Tree Data'!D42&lt;&gt;"",'[1]Leakage Tree Data'!D42,"")</f>
        <v>1569393.66162109</v>
      </c>
      <c s="72">
        <f>IF('[1]Leakage Tree Data'!E42&lt;&gt;"",'[1]Leakage Tree Data'!E42,"")</f>
        <v>1.29518103709652</v>
      </c>
      <c s="72">
        <f>IF('[1]Leakage Tree Data'!F42&lt;&gt;"",'[1]Leakage Tree Data'!F42,"")</f>
        <v>119602366.630615</v>
      </c>
      <c s="72">
        <f>IF('[1]Leakage Tree Data'!G42&lt;&gt;"",'[1]Leakage Tree Data'!G42,"")</f>
        <v>98.7048189629035</v>
      </c>
      <c s="72">
        <f>IF('[1]Leakage Tree Data'!H42&lt;&gt;"",'[1]Leakage Tree Data'!H42,"")</f>
        <v>61518209.9918823</v>
      </c>
      <c s="72" t="str">
        <f>IF('[1]Leakage Tree Data'!I42&lt;&gt;"",'[1]Leakage Tree Data'!I42,"")</f>
        <v>GroceryX</v>
      </c>
      <c s="72">
        <f>IF('[1]Leakage Tree Data'!J42&lt;&gt;"",'[1]Leakage Tree Data'!J42,"")</f>
        <v>99.3377558853689</v>
      </c>
      <c s="72">
        <f>IF('[1]Leakage Tree Data'!K42&lt;&gt;"",'[1]Leakage Tree Data'!K42,"")</f>
        <v>407400.725097656</v>
      </c>
      <c s="72">
        <f>IF('[1]Leakage Tree Data'!L42&lt;&gt;"",'[1]Leakage Tree Data'!L42,"")</f>
        <v>1977933.65781403</v>
      </c>
      <c s="72">
        <f>IF('[1]Leakage Tree Data'!M42&lt;&gt;"",'[1]Leakage Tree Data'!M42,"")</f>
        <v>2532345.04463196</v>
      </c>
      <c s="72">
        <f>IF('[1]Leakage Tree Data'!N42&lt;&gt;"",'[1]Leakage Tree Data'!N42,"")</f>
        <v>1977933.65781403</v>
      </c>
      <c s="72">
        <f>IF('[1]Leakage Tree Data'!O42&lt;&gt;"",'[1]Leakage Tree Data'!O42,"")</f>
        <v>33.9343203780682</v>
      </c>
      <c s="72">
        <f>IF('[1]Leakage Tree Data'!P42&lt;&gt;"",'[1]Leakage Tree Data'!P42,"")</f>
        <v>226542.748809266</v>
      </c>
      <c s="72">
        <f>IF('[1]Leakage Tree Data'!Q42&lt;&gt;"",'[1]Leakage Tree Data'!Q42,"")</f>
      </c>
      <c s="72">
        <f>IF('[1]Leakage Tree Data'!R42&lt;&gt;"",'[1]Leakage Tree Data'!R42,"")</f>
        <v>1017625.85098267</v>
      </c>
      <c s="72">
        <f>IF('[1]Leakage Tree Data'!S42&lt;&gt;"",'[1]Leakage Tree Data'!S42,"")</f>
        <v>28580.2462463379</v>
      </c>
      <c s="72">
        <f>IF('[1]Leakage Tree Data'!T42&lt;&gt;"",'[1]Leakage Tree Data'!T42,"")</f>
        <v>0.0128169948270465</v>
      </c>
      <c s="72">
        <f>IF('[1]Leakage Tree Data'!U42&lt;&gt;"",'[1]Leakage Tree Data'!U42,"")</f>
        <v>989045.604736328</v>
      </c>
      <c s="72">
        <f>IF('[1]Leakage Tree Data'!V42&lt;&gt;"",'[1]Leakage Tree Data'!V42,"")</f>
        <v>-0.012816994827034</v>
      </c>
      <c s="72">
        <f>IF('[1]Leakage Tree Data'!W42&lt;&gt;"",'[1]Leakage Tree Data'!W42,"")</f>
        <v>-1855949.2237854</v>
      </c>
      <c s="72">
        <f>IF('[1]Leakage Tree Data'!X42&lt;&gt;"",'[1]Leakage Tree Data'!X42,"")</f>
      </c>
      <c s="72">
        <f>IF('[1]Leakage Tree Data'!Y42&lt;&gt;"",'[1]Leakage Tree Data'!Y42,"")</f>
        <v>-0.0315500689952444</v>
      </c>
      <c s="72">
        <f>IF('[1]Leakage Tree Data'!Z42&lt;&gt;"",'[1]Leakage Tree Data'!Z42,"")</f>
        <v>7703.67645263672</v>
      </c>
      <c s="72">
        <f>IF('[1]Leakage Tree Data'!AA42&lt;&gt;"",'[1]Leakage Tree Data'!AA42,"")</f>
        <v>345073.369293213</v>
      </c>
      <c s="72">
        <f>IF('[1]Leakage Tree Data'!AB42&lt;&gt;"",'[1]Leakage Tree Data'!AB42,"")</f>
        <v>-404257.465690613</v>
      </c>
      <c s="72">
        <f>IF('[1]Leakage Tree Data'!AC42&lt;&gt;"",'[1]Leakage Tree Data'!AC42,"")</f>
        <v>345073.369293213</v>
      </c>
      <c s="72">
        <f>IF('[1]Leakage Tree Data'!AD42&lt;&gt;"",'[1]Leakage Tree Data'!AD42,"")</f>
        <v>-0.599332393485881</v>
      </c>
      <c s="72">
        <f>IF('[1]Leakage Tree Data'!AE42&lt;&gt;"",'[1]Leakage Tree Data'!AE42,"")</f>
      </c>
      <c s="73">
        <f t="shared" si="21"/>
      </c>
      <c s="73">
        <f t="shared" si="22"/>
      </c>
      <c s="73">
        <f t="shared" si="23"/>
      </c>
      <c s="73">
        <f t="shared" si="24"/>
      </c>
      <c s="74">
        <f t="shared" si="25"/>
      </c>
      <c s="74">
        <f t="shared" si="26"/>
      </c>
      <c s="69" t="str">
        <f t="shared" si="0"/>
        <v>Total US - Cub Foods</v>
      </c>
      <c s="69" t="str">
        <f t="shared" si="1"/>
        <v>Total US - GroceryX</v>
      </c>
      <c s="77"/>
    </row>
    <row r="144" spans="1:141" ht="15">
      <c r="A14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 t="shared" si="2"/>
      </c>
      <c s="76">
        <f t="shared" si="3"/>
      </c>
      <c s="75">
        <f t="shared" si="4"/>
      </c>
      <c s="76">
        <f t="shared" si="5"/>
      </c>
      <c s="75">
        <f t="shared" si="6"/>
      </c>
      <c s="76">
        <f t="shared" si="7"/>
      </c>
      <c s="75">
        <f t="shared" si="28"/>
      </c>
      <c s="76">
        <f t="shared" si="8"/>
      </c>
      <c s="75">
        <f t="shared" si="29"/>
      </c>
      <c s="76">
        <f t="shared" si="9"/>
      </c>
      <c s="75">
        <f t="shared" si="10"/>
      </c>
      <c s="76">
        <f t="shared" si="11"/>
      </c>
      <c s="75">
        <f t="shared" si="12"/>
      </c>
      <c s="76">
        <f t="shared" si="13"/>
      </c>
      <c s="75">
        <f t="shared" si="14"/>
      </c>
      <c s="76">
        <f t="shared" si="15"/>
      </c>
      <c s="75">
        <f t="shared" si="16"/>
      </c>
      <c s="76">
        <f t="shared" si="17"/>
      </c>
      <c s="75">
        <f t="shared" si="30"/>
      </c>
      <c s="76">
        <f t="shared" si="18"/>
      </c>
      <c s="65" t="str">
        <f t="shared" si="19"/>
        <v>Dominicks</v>
      </c>
      <c s="65" t="str">
        <f t="shared" si="20"/>
        <v>GroceryX</v>
      </c>
      <c s="72" t="str">
        <f>IF('[1]Leakage Tree Data'!A43&lt;&gt;"",'[1]Leakage Tree Data'!A43,"")</f>
        <v>Total US - Dominicks</v>
      </c>
      <c s="72" t="str">
        <f>IF('[1]Leakage Tree Data'!B43&lt;&gt;"",'[1]Leakage Tree Data'!B43,"")</f>
        <v>Total US - GroceryX</v>
      </c>
      <c s="72">
        <f>IF('[1]Leakage Tree Data'!C43&lt;&gt;"",'[1]Leakage Tree Data'!C43,"")</f>
        <v>121171760.292236</v>
      </c>
      <c s="72">
        <f>IF('[1]Leakage Tree Data'!D43&lt;&gt;"",'[1]Leakage Tree Data'!D43,"")</f>
      </c>
      <c s="72">
        <f>IF('[1]Leakage Tree Data'!E43&lt;&gt;"",'[1]Leakage Tree Data'!E43,"")</f>
      </c>
      <c s="72">
        <f>IF('[1]Leakage Tree Data'!F43&lt;&gt;"",'[1]Leakage Tree Data'!F43,"")</f>
      </c>
      <c s="72">
        <f>IF('[1]Leakage Tree Data'!G43&lt;&gt;"",'[1]Leakage Tree Data'!G43,"")</f>
      </c>
      <c s="72">
        <f>IF('[1]Leakage Tree Data'!H43&lt;&gt;"",'[1]Leakage Tree Data'!H43,"")</f>
        <v>61518209.9918823</v>
      </c>
      <c s="72" t="str">
        <f>IF('[1]Leakage Tree Data'!I43&lt;&gt;"",'[1]Leakage Tree Data'!I43,"")</f>
        <v>GroceryX</v>
      </c>
      <c s="72">
        <f>IF('[1]Leakage Tree Data'!J43&lt;&gt;"",'[1]Leakage Tree Data'!J43,"")</f>
      </c>
      <c s="72">
        <f>IF('[1]Leakage Tree Data'!K43&lt;&gt;"",'[1]Leakage Tree Data'!K43,"")</f>
      </c>
      <c s="72">
        <f>IF('[1]Leakage Tree Data'!L43&lt;&gt;"",'[1]Leakage Tree Data'!L43,"")</f>
      </c>
      <c s="72">
        <f>IF('[1]Leakage Tree Data'!M43&lt;&gt;"",'[1]Leakage Tree Data'!M43,"")</f>
      </c>
      <c s="72">
        <f>IF('[1]Leakage Tree Data'!N43&lt;&gt;"",'[1]Leakage Tree Data'!N43,"")</f>
      </c>
      <c s="72">
        <f>IF('[1]Leakage Tree Data'!O43&lt;&gt;"",'[1]Leakage Tree Data'!O43,"")</f>
      </c>
      <c s="72">
        <f>IF('[1]Leakage Tree Data'!P43&lt;&gt;"",'[1]Leakage Tree Data'!P43,"")</f>
      </c>
      <c s="72">
        <f>IF('[1]Leakage Tree Data'!Q43&lt;&gt;"",'[1]Leakage Tree Data'!Q43,"")</f>
      </c>
      <c s="72">
        <f>IF('[1]Leakage Tree Data'!R43&lt;&gt;"",'[1]Leakage Tree Data'!R43,"")</f>
        <v>1017625.85098267</v>
      </c>
      <c s="72">
        <f>IF('[1]Leakage Tree Data'!S43&lt;&gt;"",'[1]Leakage Tree Data'!S43,"")</f>
      </c>
      <c s="72">
        <f>IF('[1]Leakage Tree Data'!T43&lt;&gt;"",'[1]Leakage Tree Data'!T43,"")</f>
      </c>
      <c s="72">
        <f>IF('[1]Leakage Tree Data'!U43&lt;&gt;"",'[1]Leakage Tree Data'!U43,"")</f>
      </c>
      <c s="72">
        <f>IF('[1]Leakage Tree Data'!V43&lt;&gt;"",'[1]Leakage Tree Data'!V43,"")</f>
      </c>
      <c s="72">
        <f>IF('[1]Leakage Tree Data'!W43&lt;&gt;"",'[1]Leakage Tree Data'!W43,"")</f>
        <v>-1855949.2237854</v>
      </c>
      <c s="72">
        <f>IF('[1]Leakage Tree Data'!X43&lt;&gt;"",'[1]Leakage Tree Data'!X43,"")</f>
      </c>
      <c s="72">
        <f>IF('[1]Leakage Tree Data'!Y43&lt;&gt;"",'[1]Leakage Tree Data'!Y43,"")</f>
      </c>
      <c s="72">
        <f>IF('[1]Leakage Tree Data'!Z43&lt;&gt;"",'[1]Leakage Tree Data'!Z43,"")</f>
      </c>
      <c s="72">
        <f>IF('[1]Leakage Tree Data'!AA43&lt;&gt;"",'[1]Leakage Tree Data'!AA43,"")</f>
      </c>
      <c s="72">
        <f>IF('[1]Leakage Tree Data'!AB43&lt;&gt;"",'[1]Leakage Tree Data'!AB43,"")</f>
      </c>
      <c s="72">
        <f>IF('[1]Leakage Tree Data'!AC43&lt;&gt;"",'[1]Leakage Tree Data'!AC43,"")</f>
      </c>
      <c s="72">
        <f>IF('[1]Leakage Tree Data'!AD43&lt;&gt;"",'[1]Leakage Tree Data'!AD43,"")</f>
      </c>
      <c s="72">
        <f>IF('[1]Leakage Tree Data'!AE43&lt;&gt;"",'[1]Leakage Tree Data'!AE43,"")</f>
      </c>
      <c s="73">
        <f t="shared" si="21"/>
      </c>
      <c s="73">
        <f t="shared" si="22"/>
      </c>
      <c s="73">
        <f t="shared" si="23"/>
      </c>
      <c s="73">
        <f t="shared" si="24"/>
      </c>
      <c s="74">
        <f t="shared" si="25"/>
      </c>
      <c s="74">
        <f t="shared" si="26"/>
      </c>
      <c s="69" t="str">
        <f t="shared" si="0"/>
        <v>Total US - Dominicks</v>
      </c>
      <c s="69" t="str">
        <f t="shared" si="1"/>
        <v>Total US - GroceryX</v>
      </c>
      <c s="77"/>
    </row>
    <row r="145" spans="1:141" ht="15">
      <c r="A14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 t="shared" ref="CB145:CB176" si="31">IF(ISERROR(VLOOKUP(CV145,$AL$8:$AL$14,1,FALSE))=TRUE,IF(AND(CV145=CW145,CV145&lt;&gt;"",DI$111&lt;&gt;"",DK145&lt;&gt;""),IF(CW$101="Y",DK145-IF(ISERROR(VLOOKUP(CV145,$CA$113:$DK$300,37,FALSE))=TRUE,0,IF(VLOOKUP(CV145,$CA$113:$DK$300,37,FALSE)="",0,VLOOKUP(CV145,$CA$113:$DK$300,37,FALSE))),DK145-IF(AND(CW$102="Y",CV145=$CW$111),DI$111,0)),""),"")</f>
      </c>
      <c s="76">
        <f t="shared" ref="CC145:CC176" si="32">IF(ISERROR(VLOOKUP(CV145,$AL$8:$AL$14,1,FALSE))=TRUE,IF(CB145&lt;&gt;"",IF(CB145&gt;0,IF(Z$4&lt;&gt;"",MIN(4,RANK(CB145,$CB$111:$CB$300)),RANK(CB145,$CB$111:$CB$300)),""),""),"")</f>
      </c>
      <c s="75">
        <f t="shared" ref="CD145:CD176" si="33">IF(ISERROR(VLOOKUP(CV145,$AL$8:$AL$14,1,FALSE))=TRUE,IF(AND(ISERROR(FIND("NeighMkt",$CX$102))=FALSE,LEFT($CW$111,10)="ALL OUTLET",$CA145&lt;&gt;"",DK145&lt;&gt;""),"",IF(AND($CV145&lt;&gt;$CW145,$CW145=CD$110),$DK145,"")),"")</f>
      </c>
      <c s="76">
        <f t="shared" ref="CE145:CE176" si="34">IF(ISERROR(VLOOKUP(CV145,$AL$8:$AL$14,1,FALSE))=TRUE,IF(CD145&lt;&gt;"",IF(CD145&gt;0,RANK(CD145,$CD$111:$CD$300),""),""),"")</f>
      </c>
      <c s="75">
        <f t="shared" ref="CF145:CF176" si="35">IF(ISERROR(VLOOKUP(CV145,$AL$8:$AL$14,1,FALSE))=TRUE,IF(AND(ISERROR(FIND("NeighMkt",$CX$102))=FALSE,LEFT($CW$111,10)="ALL OUTLET",$CA145&lt;&gt;"",DK145&lt;&gt;""),"",IF(AND($CV145&lt;&gt;$CW145,$CW145=CF$110),$DK145,"")),"")</f>
      </c>
      <c s="76">
        <f t="shared" ref="CG145:CG176" si="36">IF(ISERROR(VLOOKUP(CV145,$AL$8:$AL$14,1,FALSE))=TRUE,IF(CF145&lt;&gt;"",IF(CF145&gt;0,RANK(CF145,$CF$111:$CF$300),""),""),"")</f>
      </c>
      <c s="75">
        <f t="shared" ref="CH145:CH176" si="37">IF(ISERROR(VLOOKUP(CV145,$AL$8:$AL$14,1,FALSE))=TRUE,IF(AND(ISERROR(FIND("NeighMkt",$CX$102))=FALSE,LEFT($CW$111,10)="ALL OUTLET",$CA145&lt;&gt;"",DK145&lt;&gt;""),"",IF(AND($CV145&lt;&gt;$CW145,$CW145=CH$110),$DK145,"")),"")</f>
      </c>
      <c s="76">
        <f t="shared" ref="CI145:CI176" si="38">IF(ISERROR(VLOOKUP(CV145,$AL$8:$AL$14,1,FALSE))=TRUE,IF(CH145&lt;&gt;"",IF(CH145&gt;0,RANK(CH145,$CH$111:$CH$300),""),""),"")</f>
      </c>
      <c s="75">
        <f t="shared" si="29"/>
      </c>
      <c s="76">
        <f t="shared" ref="CK145:CK176" si="39">IF(ISERROR(VLOOKUP(CV145,$AL$8:$AL$14,1,FALSE))=TRUE,IF(CJ145&lt;&gt;"",IF(CJ145&gt;0,RANK(CJ145,$CJ$111:$CJ$300),""),""),"")</f>
      </c>
      <c s="75">
        <f t="shared" ref="CL145:CL176" si="40">IF(ISERROR(VLOOKUP(CV145,$AL$8:$AL$14,1,FALSE))=TRUE,IF(AND(CV145=CW145,CV145&lt;&gt;"",DJ145&lt;&gt;""),IF(AND(ISERROR(FIND("NeighMkt",$CX$102))=FALSE,LEFT($CW$111,10)="ALL OUTLET"),DJ145-IF(ISERROR(VLOOKUP(CV145,$CA$113:$DK$300,36,FALSE))=TRUE,0,IF(VLOOKUP(CV145,$CA$113:$DK$300,36,FALSE)="",0,VLOOKUP(CV145,$CA$113:$DK$300,36,FALSE))),DJ145),""),"")</f>
      </c>
      <c s="76">
        <f t="shared" ref="CM145:CM176" si="41">IF(ISERROR(VLOOKUP(CV145,$AL$8:$AL$14,1,FALSE))=TRUE,IF(CL145&lt;&gt;"",IF(CL145&gt;0,IF($Z$4&lt;&gt;"",MIN(4,RANK(CL145,$CL$111:$CL$300)),RANK(CL145,$CL$111:$CL$300)),""),""),"")</f>
      </c>
      <c s="75">
        <f t="shared" ref="CN145:CN176" si="42">IF(ISERROR(VLOOKUP(CV145,$AL$8:$AL$14,1,FALSE))=TRUE,IF(AND(ISERROR(FIND("NeighMkt",$CX$102))=FALSE,LEFT($CW$111,10)="ALL OUTLET",$CA145&lt;&gt;"",DJ145&lt;&gt;""),"",IF(AND($CV145&lt;&gt;$CW145,$CW145=CN$110),$DJ145,"")),"")</f>
        <v>1650047.18029118</v>
      </c>
      <c s="76">
        <f t="shared" ref="CO145:CO176" si="43">IF(ISERROR(VLOOKUP(CV145,$AL$8:$AL$14,1,FALSE))=TRUE,IF(CN145&lt;&gt;"",IF(CN145&gt;0,RANK(CN145,$CN$111:$CN$300),""),""),"")</f>
        <v>46</v>
      </c>
      <c s="75">
        <f t="shared" ref="CP145:CP176" si="44">IF(ISERROR(VLOOKUP(CV145,$AL$8:$AL$14,1,FALSE))=TRUE,IF(AND(ISERROR(FIND("NeighMkt",$CX$102))=FALSE,LEFT($CW$111,10)="ALL OUTLET",$CA145&lt;&gt;"",DJ145&lt;&gt;""),"",IF(AND($CV145&lt;&gt;$CW145,$CW145=CP$110),$DJ145,"")),"")</f>
      </c>
      <c s="76">
        <f t="shared" ref="CQ145:CQ176" si="45">IF(ISERROR(VLOOKUP(CV145,$AL$8:$AL$14,1,FALSE))=TRUE,IF(CP145&lt;&gt;"",IF(CP145&gt;0,RANK(CP145,$CP$111:$CP$300),""),""),"")</f>
      </c>
      <c s="75">
        <f t="shared" ref="CR145:CR176" si="46">IF(ISERROR(VLOOKUP(CV145,$AL$8:$AL$14,1,FALSE))=TRUE,IF(AND(ISERROR(FIND("NeighMkt",$CX$102))=FALSE,LEFT($CW$111,10)="ALL OUTLET",$CA145&lt;&gt;"",DJ145&lt;&gt;""),"",IF(AND($CV145&lt;&gt;$CW145,$CW145=CR$110),$DJ145,"")),"")</f>
      </c>
      <c s="76">
        <f t="shared" ref="CS145:CS176" si="47">IF(ISERROR(VLOOKUP(CV145,$AL$8:$AL$14,1,FALSE))=TRUE,IF(CR145&lt;&gt;"",IF(CR145&gt;0,RANK(CR145,$CR$111:$CR$300),""),""),"")</f>
      </c>
      <c s="75">
        <f t="shared" si="30"/>
      </c>
      <c s="76">
        <f t="shared" ref="CU145:CU176" si="48">IF(ISERROR(VLOOKUP(CV145,$AL$8:$AL$14,1,FALSE))=TRUE,IF(CT145&lt;&gt;"",IF(CT145&gt;0,RANK(CT145,$CT$111:$CT$300),""),""),"")</f>
      </c>
      <c s="65" t="str">
        <f t="shared" si="19"/>
        <v>Fareway</v>
      </c>
      <c s="65" t="str">
        <f t="shared" si="20"/>
        <v>GroceryX</v>
      </c>
      <c s="72" t="str">
        <f>IF('[1]Leakage Tree Data'!A44&lt;&gt;"",'[1]Leakage Tree Data'!A44,"")</f>
        <v>Total US - Fareway</v>
      </c>
      <c s="72" t="str">
        <f>IF('[1]Leakage Tree Data'!B44&lt;&gt;"",'[1]Leakage Tree Data'!B44,"")</f>
        <v>Total US - GroceryX</v>
      </c>
      <c s="72">
        <f>IF('[1]Leakage Tree Data'!C44&lt;&gt;"",'[1]Leakage Tree Data'!C44,"")</f>
        <v>121171760.292236</v>
      </c>
      <c s="72">
        <f>IF('[1]Leakage Tree Data'!D44&lt;&gt;"",'[1]Leakage Tree Data'!D44,"")</f>
        <v>1315830.93530273</v>
      </c>
      <c s="72">
        <f>IF('[1]Leakage Tree Data'!E44&lt;&gt;"",'[1]Leakage Tree Data'!E44,"")</f>
        <v>1.08592210935062</v>
      </c>
      <c s="72">
        <f>IF('[1]Leakage Tree Data'!F44&lt;&gt;"",'[1]Leakage Tree Data'!F44,"")</f>
        <v>119855929.356934</v>
      </c>
      <c s="72">
        <f>IF('[1]Leakage Tree Data'!G44&lt;&gt;"",'[1]Leakage Tree Data'!G44,"")</f>
        <v>98.9140778906494</v>
      </c>
      <c s="72">
        <f>IF('[1]Leakage Tree Data'!H44&lt;&gt;"",'[1]Leakage Tree Data'!H44,"")</f>
        <v>61518209.9918823</v>
      </c>
      <c s="72" t="str">
        <f>IF('[1]Leakage Tree Data'!I44&lt;&gt;"",'[1]Leakage Tree Data'!I44,"")</f>
        <v>GroceryX</v>
      </c>
      <c s="72">
        <f>IF('[1]Leakage Tree Data'!J44&lt;&gt;"",'[1]Leakage Tree Data'!J44,"")</f>
        <v>99.7581926901886</v>
      </c>
      <c s="72">
        <f>IF('[1]Leakage Tree Data'!K44&lt;&gt;"",'[1]Leakage Tree Data'!K44,"")</f>
        <v>148755.528625488</v>
      </c>
      <c s="72">
        <f>IF('[1]Leakage Tree Data'!L44&lt;&gt;"",'[1]Leakage Tree Data'!L44,"")</f>
      </c>
      <c s="72">
        <f>IF('[1]Leakage Tree Data'!M44&lt;&gt;"",'[1]Leakage Tree Data'!M44,"")</f>
        <v>1650047.18029118</v>
      </c>
      <c s="72">
        <f>IF('[1]Leakage Tree Data'!N44&lt;&gt;"",'[1]Leakage Tree Data'!N44,"")</f>
      </c>
      <c s="72">
        <f>IF('[1]Leakage Tree Data'!O44&lt;&gt;"",'[1]Leakage Tree Data'!O44,"")</f>
        <v>24.0991848125366</v>
      </c>
      <c s="72">
        <f>IF('[1]Leakage Tree Data'!P44&lt;&gt;"",'[1]Leakage Tree Data'!P44,"")</f>
        <v>182741.036167603</v>
      </c>
      <c s="72">
        <f>IF('[1]Leakage Tree Data'!Q44&lt;&gt;"",'[1]Leakage Tree Data'!Q44,"")</f>
      </c>
      <c s="72">
        <f>IF('[1]Leakage Tree Data'!R44&lt;&gt;"",'[1]Leakage Tree Data'!R44,"")</f>
        <v>1017625.85098267</v>
      </c>
      <c s="72">
        <f>IF('[1]Leakage Tree Data'!S44&lt;&gt;"",'[1]Leakage Tree Data'!S44,"")</f>
        <v>65315.3431091309</v>
      </c>
      <c s="72">
        <f>IF('[1]Leakage Tree Data'!T44&lt;&gt;"",'[1]Leakage Tree Data'!T44,"")</f>
        <v>0.045162589914352</v>
      </c>
      <c s="72">
        <f>IF('[1]Leakage Tree Data'!U44&lt;&gt;"",'[1]Leakage Tree Data'!U44,"")</f>
        <v>952310.507873535</v>
      </c>
      <c s="72">
        <f>IF('[1]Leakage Tree Data'!V44&lt;&gt;"",'[1]Leakage Tree Data'!V44,"")</f>
        <v>-0.0451625899143409</v>
      </c>
      <c s="72">
        <f>IF('[1]Leakage Tree Data'!W44&lt;&gt;"",'[1]Leakage Tree Data'!W44,"")</f>
        <v>-1855949.2237854</v>
      </c>
      <c s="72">
        <f>IF('[1]Leakage Tree Data'!X44&lt;&gt;"",'[1]Leakage Tree Data'!X44,"")</f>
      </c>
      <c s="72">
        <f>IF('[1]Leakage Tree Data'!Y44&lt;&gt;"",'[1]Leakage Tree Data'!Y44,"")</f>
        <v>0.0407450627105419</v>
      </c>
      <c s="72">
        <f>IF('[1]Leakage Tree Data'!Z44&lt;&gt;"",'[1]Leakage Tree Data'!Z44,"")</f>
        <v>-30309.6618041992</v>
      </c>
      <c s="72">
        <f>IF('[1]Leakage Tree Data'!AA44&lt;&gt;"",'[1]Leakage Tree Data'!AA44,"")</f>
      </c>
      <c s="72">
        <f>IF('[1]Leakage Tree Data'!AB44&lt;&gt;"",'[1]Leakage Tree Data'!AB44,"")</f>
        <v>162988.658654213</v>
      </c>
      <c s="72">
        <f>IF('[1]Leakage Tree Data'!AC44&lt;&gt;"",'[1]Leakage Tree Data'!AC44,"")</f>
      </c>
      <c s="72">
        <f>IF('[1]Leakage Tree Data'!AD44&lt;&gt;"",'[1]Leakage Tree Data'!AD44,"")</f>
        <v>-2.59548684185359</v>
      </c>
      <c s="72">
        <f>IF('[1]Leakage Tree Data'!AE44&lt;&gt;"",'[1]Leakage Tree Data'!AE44,"")</f>
      </c>
      <c s="73">
        <f t="shared" ref="EC145:EC176" si="49">IF(AND(CV145=CW145,CV145&lt;&gt;"",DJ145&lt;&gt;""),IF(AND(ISERROR(FIND("NeighMkt",$CX$102))=FALSE,LEFT($CW$111,10)="ALL OUTLET"),DJ145-IF(ISERROR(VLOOKUP(CV145,$CA$113:$DK$300,36,FALSE))=TRUE,0,IF(VLOOKUP(CV145,$CA$113:$DK$300,36,FALSE)="",0,VLOOKUP(CV145,$CA$113:$DK$300,36,FALSE))),DJ145),"")</f>
      </c>
      <c s="73">
        <f t="shared" ref="ED145:ED176" si="50">IF(AND(CV145=CW145,CV145&lt;&gt;"",DI$111&lt;&gt;"",DK145&lt;&gt;""),IF(CW$101="Y",DK145-IF(ISERROR(VLOOKUP(CV145,$CA$113:$DK$300,37,FALSE))=TRUE,0,IF(VLOOKUP(CV145,$CA$113:$DK$300,37,FALSE)="",0,VLOOKUP(CV145,$CA$113:$DK$300,37,FALSE))),DK145-IF(AND(CW$102="Y",CV145=$CW$111),DI$111,0)),"")</f>
      </c>
      <c s="73">
        <f t="shared" ref="EE145:EE176" si="51">IF(AND(CV145=CW145,CV145&lt;&gt;"",DJ145&lt;&gt;"",DY145&lt;&gt;""),IF(AND(ISERROR(FIND("NeighMkt",$CX$102))=FALSE,LEFT($CW$111,10)="ALL OUTLET"),DY145-IF(ISERROR(VLOOKUP(CV145,$CA$113:$DZ$300,51,FALSE))=TRUE,0,IF(VLOOKUP(CV145,$CA$113:$DZ$300,51,FALSE)="",0,VLOOKUP(CV145,$CA$113:$DZ$300,51,FALSE))),DY145),"")</f>
      </c>
      <c s="73">
        <f t="shared" ref="EF145:EF176" si="52">IF(AND(CV145=CW145,CV145&lt;&gt;"",DI$111&lt;&gt;"",DK145&lt;&gt;"",DZ145&lt;&gt;""),IF(CW$101="Y",DZ145-IF(ISERROR(VLOOKUP(CV145,$CA$113:$DZ$300,52,FALSE))=TRUE,0,IF(VLOOKUP(CV145,$CA$113:$DZ$300,52,FALSE)="",0,VLOOKUP(CV145,$CA$113:$DZ$300,52,FALSE))),DZ145-IF(AND(CW$102="Y",CV145=$CW$111),DX$111,0)),"")</f>
      </c>
      <c s="74">
        <f t="shared" ref="EG145:EG176" si="53">IF(AND(CV145=CW145,CV145&lt;&gt;"",DJ145&lt;&gt;"",EE145&lt;&gt;""),EC145/$DJ$112-(EC145-EE145)/($DJ$112-$DY$112),"")</f>
      </c>
      <c s="74">
        <f t="shared" ref="EH145:EH176" si="54">IF(AND(CV145=CW145,CV145&lt;&gt;"",DI$111&lt;&gt;"",DK145&lt;&gt;"",EF145&lt;&gt;""),ED145/$DI$112-(ED145-EF145)/($DI$112-$DX$112),"")</f>
      </c>
      <c s="69" t="str">
        <f t="shared" si="0"/>
        <v>Total US - Fareway</v>
      </c>
      <c s="69" t="str">
        <f t="shared" si="1"/>
        <v>Total US - GroceryX</v>
      </c>
      <c s="77"/>
    </row>
    <row r="146" spans="1:141" ht="15">
      <c r="A14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 t="shared" si="31"/>
      </c>
      <c s="76">
        <f t="shared" si="32"/>
      </c>
      <c s="75">
        <f t="shared" si="33"/>
        <v>3350984.56188965</v>
      </c>
      <c s="76">
        <f t="shared" si="34"/>
        <v>15</v>
      </c>
      <c s="75">
        <f t="shared" si="35"/>
      </c>
      <c s="76">
        <f t="shared" si="36"/>
      </c>
      <c s="75">
        <f t="shared" si="37"/>
      </c>
      <c s="76">
        <f t="shared" si="38"/>
      </c>
      <c s="75">
        <f t="shared" si="29"/>
      </c>
      <c s="76">
        <f t="shared" si="39"/>
      </c>
      <c s="75">
        <f t="shared" si="40"/>
      </c>
      <c s="76">
        <f t="shared" si="41"/>
      </c>
      <c s="75">
        <f t="shared" si="42"/>
        <v>10055136.586853</v>
      </c>
      <c s="76">
        <f t="shared" si="43"/>
        <v>10</v>
      </c>
      <c s="75">
        <f t="shared" si="44"/>
      </c>
      <c s="76">
        <f t="shared" si="45"/>
      </c>
      <c s="75">
        <f t="shared" si="46"/>
      </c>
      <c s="76">
        <f t="shared" si="47"/>
      </c>
      <c s="75">
        <f t="shared" si="30"/>
      </c>
      <c s="76">
        <f t="shared" si="48"/>
      </c>
      <c s="65" t="str">
        <f t="shared" si="19"/>
        <v>Food 4 Less</v>
      </c>
      <c s="65" t="str">
        <f t="shared" si="20"/>
        <v>GroceryX</v>
      </c>
      <c s="72" t="str">
        <f>IF('[1]Leakage Tree Data'!A45&lt;&gt;"",'[1]Leakage Tree Data'!A45,"")</f>
        <v>Total US - Food 4 Less</v>
      </c>
      <c s="72" t="str">
        <f>IF('[1]Leakage Tree Data'!B45&lt;&gt;"",'[1]Leakage Tree Data'!B45,"")</f>
        <v>Total US - GroceryX</v>
      </c>
      <c s="72">
        <f>IF('[1]Leakage Tree Data'!C45&lt;&gt;"",'[1]Leakage Tree Data'!C45,"")</f>
        <v>121171760.292236</v>
      </c>
      <c s="72">
        <f>IF('[1]Leakage Tree Data'!D45&lt;&gt;"",'[1]Leakage Tree Data'!D45,"")</f>
        <v>2915807.03497314</v>
      </c>
      <c s="72">
        <f>IF('[1]Leakage Tree Data'!E45&lt;&gt;"",'[1]Leakage Tree Data'!E45,"")</f>
        <v>2.40634206183102</v>
      </c>
      <c s="72">
        <f>IF('[1]Leakage Tree Data'!F45&lt;&gt;"",'[1]Leakage Tree Data'!F45,"")</f>
        <v>118255953.257263</v>
      </c>
      <c s="72">
        <f>IF('[1]Leakage Tree Data'!G45&lt;&gt;"",'[1]Leakage Tree Data'!G45,"")</f>
        <v>97.593657938169</v>
      </c>
      <c s="72">
        <f>IF('[1]Leakage Tree Data'!H45&lt;&gt;"",'[1]Leakage Tree Data'!H45,"")</f>
        <v>61518209.9918823</v>
      </c>
      <c s="72" t="str">
        <f>IF('[1]Leakage Tree Data'!I45&lt;&gt;"",'[1]Leakage Tree Data'!I45,"")</f>
        <v>GroceryX</v>
      </c>
      <c s="72">
        <f>IF('[1]Leakage Tree Data'!J45&lt;&gt;"",'[1]Leakage Tree Data'!J45,"")</f>
        <v>99.215706301499</v>
      </c>
      <c s="72">
        <f>IF('[1]Leakage Tree Data'!K45&lt;&gt;"",'[1]Leakage Tree Data'!K45,"")</f>
        <v>482483.444396973</v>
      </c>
      <c s="72">
        <f>IF('[1]Leakage Tree Data'!L45&lt;&gt;"",'[1]Leakage Tree Data'!L45,"")</f>
        <v>3350984.56188965</v>
      </c>
      <c s="72">
        <f>IF('[1]Leakage Tree Data'!M45&lt;&gt;"",'[1]Leakage Tree Data'!M45,"")</f>
        <v>10055136.586853</v>
      </c>
      <c s="72">
        <f>IF('[1]Leakage Tree Data'!N45&lt;&gt;"",'[1]Leakage Tree Data'!N45,"")</f>
        <v>3350984.56188965</v>
      </c>
      <c s="72">
        <f>IF('[1]Leakage Tree Data'!O45&lt;&gt;"",'[1]Leakage Tree Data'!O45,"")</f>
        <v>26.7313165911739</v>
      </c>
      <c s="72">
        <f>IF('[1]Leakage Tree Data'!P45&lt;&gt;"",'[1]Leakage Tree Data'!P45,"")</f>
        <v>605066.562019857</v>
      </c>
      <c s="72">
        <f>IF('[1]Leakage Tree Data'!Q45&lt;&gt;"",'[1]Leakage Tree Data'!Q45,"")</f>
      </c>
      <c s="72">
        <f>IF('[1]Leakage Tree Data'!R45&lt;&gt;"",'[1]Leakage Tree Data'!R45,"")</f>
        <v>1017625.85098267</v>
      </c>
      <c s="72">
        <f>IF('[1]Leakage Tree Data'!S45&lt;&gt;"",'[1]Leakage Tree Data'!S45,"")</f>
        <v>-434644.099243164</v>
      </c>
      <c s="72">
        <f>IF('[1]Leakage Tree Data'!T45&lt;&gt;"",'[1]Leakage Tree Data'!T45,"")</f>
        <v>-0.382118901078603</v>
      </c>
      <c s="72">
        <f>IF('[1]Leakage Tree Data'!U45&lt;&gt;"",'[1]Leakage Tree Data'!U45,"")</f>
        <v>1452269.95022583</v>
      </c>
      <c s="72">
        <f>IF('[1]Leakage Tree Data'!V45&lt;&gt;"",'[1]Leakage Tree Data'!V45,"")</f>
        <v>0.382118901078599</v>
      </c>
      <c s="72">
        <f>IF('[1]Leakage Tree Data'!W45&lt;&gt;"",'[1]Leakage Tree Data'!W45,"")</f>
        <v>-1855949.2237854</v>
      </c>
      <c s="72">
        <f>IF('[1]Leakage Tree Data'!X45&lt;&gt;"",'[1]Leakage Tree Data'!X45,"")</f>
      </c>
      <c s="72">
        <f>IF('[1]Leakage Tree Data'!Y45&lt;&gt;"",'[1]Leakage Tree Data'!Y45,"")</f>
        <v>0.199205531715009</v>
      </c>
      <c s="72">
        <f>IF('[1]Leakage Tree Data'!Z45&lt;&gt;"",'[1]Leakage Tree Data'!Z45,"")</f>
        <v>-140800.92364502</v>
      </c>
      <c s="72">
        <f>IF('[1]Leakage Tree Data'!AA45&lt;&gt;"",'[1]Leakage Tree Data'!AA45,"")</f>
        <v>-2856218.38720703</v>
      </c>
      <c s="72">
        <f>IF('[1]Leakage Tree Data'!AB45&lt;&gt;"",'[1]Leakage Tree Data'!AB45,"")</f>
        <v>-1635935.68478394</v>
      </c>
      <c s="72">
        <f>IF('[1]Leakage Tree Data'!AC45&lt;&gt;"",'[1]Leakage Tree Data'!AC45,"")</f>
        <v>-2856218.38720703</v>
      </c>
      <c s="72">
        <f>IF('[1]Leakage Tree Data'!AD45&lt;&gt;"",'[1]Leakage Tree Data'!AD45,"")</f>
        <v>-3.86273452209761</v>
      </c>
      <c s="72">
        <f>IF('[1]Leakage Tree Data'!AE45&lt;&gt;"",'[1]Leakage Tree Data'!AE45,"")</f>
      </c>
      <c s="73">
        <f t="shared" si="49"/>
      </c>
      <c s="73">
        <f t="shared" si="50"/>
      </c>
      <c s="73">
        <f t="shared" si="51"/>
      </c>
      <c s="73">
        <f t="shared" si="52"/>
      </c>
      <c s="74">
        <f t="shared" si="53"/>
      </c>
      <c s="74">
        <f t="shared" si="54"/>
      </c>
      <c s="69" t="str">
        <f t="shared" si="0"/>
        <v>Total US - Food 4 Less</v>
      </c>
      <c s="69" t="str">
        <f t="shared" si="1"/>
        <v>Total US - GroceryX</v>
      </c>
      <c s="77"/>
    </row>
    <row r="147" spans="1:141" ht="15">
      <c r="A14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 t="shared" si="31"/>
      </c>
      <c s="76">
        <f t="shared" si="32"/>
      </c>
      <c s="75">
        <f t="shared" si="33"/>
        <v>3779971.80615234</v>
      </c>
      <c s="76">
        <f t="shared" si="34"/>
        <v>10</v>
      </c>
      <c s="75">
        <f t="shared" si="35"/>
      </c>
      <c s="76">
        <f t="shared" si="36"/>
      </c>
      <c s="75">
        <f t="shared" si="37"/>
      </c>
      <c s="76">
        <f t="shared" si="38"/>
      </c>
      <c s="75">
        <f t="shared" si="29"/>
      </c>
      <c s="76">
        <f t="shared" si="39"/>
      </c>
      <c s="75">
        <f t="shared" si="40"/>
      </c>
      <c s="76">
        <f t="shared" si="41"/>
      </c>
      <c s="75">
        <f t="shared" si="42"/>
        <v>12003276.0894623</v>
      </c>
      <c s="76">
        <f t="shared" si="43"/>
        <v>9</v>
      </c>
      <c s="75">
        <f t="shared" si="44"/>
      </c>
      <c s="76">
        <f t="shared" si="45"/>
      </c>
      <c s="75">
        <f t="shared" si="46"/>
      </c>
      <c s="76">
        <f t="shared" si="47"/>
      </c>
      <c s="75">
        <f t="shared" si="30"/>
      </c>
      <c s="76">
        <f t="shared" si="48"/>
      </c>
      <c s="65" t="str">
        <f t="shared" si="19"/>
        <v>Food Lion</v>
      </c>
      <c s="65" t="str">
        <f t="shared" si="20"/>
        <v>GroceryX</v>
      </c>
      <c s="72" t="str">
        <f>IF('[1]Leakage Tree Data'!A46&lt;&gt;"",'[1]Leakage Tree Data'!A46,"")</f>
        <v>Total US - Food Lion</v>
      </c>
      <c s="72" t="str">
        <f>IF('[1]Leakage Tree Data'!B46&lt;&gt;"",'[1]Leakage Tree Data'!B46,"")</f>
        <v>Total US - GroceryX</v>
      </c>
      <c s="72">
        <f>IF('[1]Leakage Tree Data'!C46&lt;&gt;"",'[1]Leakage Tree Data'!C46,"")</f>
        <v>121171760.292236</v>
      </c>
      <c s="72">
        <f>IF('[1]Leakage Tree Data'!D46&lt;&gt;"",'[1]Leakage Tree Data'!D46,"")</f>
        <v>8116589.36547852</v>
      </c>
      <c s="72">
        <f>IF('[1]Leakage Tree Data'!E46&lt;&gt;"",'[1]Leakage Tree Data'!E46,"")</f>
        <v>6.69841664914606</v>
      </c>
      <c s="72">
        <f>IF('[1]Leakage Tree Data'!F46&lt;&gt;"",'[1]Leakage Tree Data'!F46,"")</f>
        <v>113055170.926758</v>
      </c>
      <c s="72">
        <f>IF('[1]Leakage Tree Data'!G46&lt;&gt;"",'[1]Leakage Tree Data'!G46,"")</f>
        <v>93.3015833508539</v>
      </c>
      <c s="72">
        <f>IF('[1]Leakage Tree Data'!H46&lt;&gt;"",'[1]Leakage Tree Data'!H46,"")</f>
        <v>61518209.9918823</v>
      </c>
      <c s="72" t="str">
        <f>IF('[1]Leakage Tree Data'!I46&lt;&gt;"",'[1]Leakage Tree Data'!I46,"")</f>
        <v>GroceryX</v>
      </c>
      <c s="72">
        <f>IF('[1]Leakage Tree Data'!J46&lt;&gt;"",'[1]Leakage Tree Data'!J46,"")</f>
        <v>98.2396012584932</v>
      </c>
      <c s="72">
        <f>IF('[1]Leakage Tree Data'!K46&lt;&gt;"",'[1]Leakage Tree Data'!K46,"")</f>
        <v>1082965.79449463</v>
      </c>
      <c s="72">
        <f>IF('[1]Leakage Tree Data'!L46&lt;&gt;"",'[1]Leakage Tree Data'!L46,"")</f>
        <v>3779971.80615234</v>
      </c>
      <c s="72">
        <f>IF('[1]Leakage Tree Data'!M46&lt;&gt;"",'[1]Leakage Tree Data'!M46,"")</f>
        <v>12003276.0894623</v>
      </c>
      <c s="72">
        <f>IF('[1]Leakage Tree Data'!N46&lt;&gt;"",'[1]Leakage Tree Data'!N46,"")</f>
        <v>3779971.80615234</v>
      </c>
      <c s="72">
        <f>IF('[1]Leakage Tree Data'!O46&lt;&gt;"",'[1]Leakage Tree Data'!O46,"")</f>
        <v>29.0861392168674</v>
      </c>
      <c s="72">
        <f>IF('[1]Leakage Tree Data'!P46&lt;&gt;"",'[1]Leakage Tree Data'!P46,"")</f>
        <v>1484176.03776319</v>
      </c>
      <c s="72">
        <f>IF('[1]Leakage Tree Data'!Q46&lt;&gt;"",'[1]Leakage Tree Data'!Q46,"")</f>
      </c>
      <c s="72">
        <f>IF('[1]Leakage Tree Data'!R46&lt;&gt;"",'[1]Leakage Tree Data'!R46,"")</f>
        <v>1017625.85098267</v>
      </c>
      <c s="72">
        <f>IF('[1]Leakage Tree Data'!S46&lt;&gt;"",'[1]Leakage Tree Data'!S46,"")</f>
        <v>96923.1474609375</v>
      </c>
      <c s="72">
        <f>IF('[1]Leakage Tree Data'!T46&lt;&gt;"",'[1]Leakage Tree Data'!T46,"")</f>
        <v>0.02393453056479</v>
      </c>
      <c s="72">
        <f>IF('[1]Leakage Tree Data'!U46&lt;&gt;"",'[1]Leakage Tree Data'!U46,"")</f>
        <v>920702.703521729</v>
      </c>
      <c s="72">
        <f>IF('[1]Leakage Tree Data'!V46&lt;&gt;"",'[1]Leakage Tree Data'!V46,"")</f>
        <v>-0.0239345305648015</v>
      </c>
      <c s="72">
        <f>IF('[1]Leakage Tree Data'!W46&lt;&gt;"",'[1]Leakage Tree Data'!W46,"")</f>
        <v>-1855949.2237854</v>
      </c>
      <c s="72">
        <f>IF('[1]Leakage Tree Data'!X46&lt;&gt;"",'[1]Leakage Tree Data'!X46,"")</f>
      </c>
      <c s="72">
        <f>IF('[1]Leakage Tree Data'!Y46&lt;&gt;"",'[1]Leakage Tree Data'!Y46,"")</f>
        <v>0.00896872833261853</v>
      </c>
      <c s="72">
        <f>IF('[1]Leakage Tree Data'!Z46&lt;&gt;"",'[1]Leakage Tree Data'!Z46,"")</f>
        <v>-38355.9629516602</v>
      </c>
      <c s="72">
        <f>IF('[1]Leakage Tree Data'!AA46&lt;&gt;"",'[1]Leakage Tree Data'!AA46,"")</f>
        <v>-655115.547988892</v>
      </c>
      <c s="72">
        <f>IF('[1]Leakage Tree Data'!AB46&lt;&gt;"",'[1]Leakage Tree Data'!AB46,"")</f>
        <v>269387.52545166</v>
      </c>
      <c s="72">
        <f>IF('[1]Leakage Tree Data'!AC46&lt;&gt;"",'[1]Leakage Tree Data'!AC46,"")</f>
        <v>-655115.547988892</v>
      </c>
      <c s="72">
        <f>IF('[1]Leakage Tree Data'!AD46&lt;&gt;"",'[1]Leakage Tree Data'!AD46,"")</f>
        <v>-0.705364359430021</v>
      </c>
      <c s="72">
        <f>IF('[1]Leakage Tree Data'!AE46&lt;&gt;"",'[1]Leakage Tree Data'!AE46,"")</f>
      </c>
      <c s="73">
        <f t="shared" si="49"/>
      </c>
      <c s="73">
        <f t="shared" si="50"/>
      </c>
      <c s="73">
        <f t="shared" si="51"/>
      </c>
      <c s="73">
        <f t="shared" si="52"/>
      </c>
      <c s="74">
        <f t="shared" si="53"/>
      </c>
      <c s="74">
        <f t="shared" si="54"/>
      </c>
      <c s="69" t="str">
        <f t="shared" si="0"/>
        <v>Total US - Food Lion</v>
      </c>
      <c s="69" t="str">
        <f t="shared" si="1"/>
        <v>Total US - GroceryX</v>
      </c>
      <c s="77"/>
    </row>
    <row r="148" spans="1:141" ht="15">
      <c r="A14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 t="shared" si="31"/>
      </c>
      <c s="76">
        <f t="shared" si="32"/>
      </c>
      <c s="75">
        <f t="shared" si="33"/>
        <v>1573029.33479309</v>
      </c>
      <c s="76">
        <f t="shared" si="34"/>
        <v>29</v>
      </c>
      <c s="75">
        <f t="shared" si="35"/>
      </c>
      <c s="76">
        <f t="shared" si="36"/>
      </c>
      <c s="75">
        <f t="shared" si="37"/>
      </c>
      <c s="76">
        <f t="shared" si="38"/>
      </c>
      <c s="75">
        <f t="shared" si="29"/>
      </c>
      <c s="76">
        <f t="shared" si="39"/>
      </c>
      <c s="75">
        <f t="shared" si="40"/>
      </c>
      <c s="76">
        <f t="shared" si="41"/>
      </c>
      <c s="75">
        <f t="shared" si="42"/>
        <v>8947260.52957344</v>
      </c>
      <c s="76">
        <f t="shared" si="43"/>
        <v>14</v>
      </c>
      <c s="75">
        <f t="shared" si="44"/>
      </c>
      <c s="76">
        <f t="shared" si="45"/>
      </c>
      <c s="75">
        <f t="shared" si="46"/>
      </c>
      <c s="76">
        <f t="shared" si="47"/>
      </c>
      <c s="75">
        <f t="shared" si="30"/>
      </c>
      <c s="76">
        <f t="shared" si="48"/>
      </c>
      <c s="65" t="str">
        <f t="shared" si="19"/>
        <v>Fred Meyer</v>
      </c>
      <c s="65" t="str">
        <f t="shared" si="20"/>
        <v>GroceryX</v>
      </c>
      <c s="72" t="str">
        <f>IF('[1]Leakage Tree Data'!A47&lt;&gt;"",'[1]Leakage Tree Data'!A47,"")</f>
        <v>Total US - Fred Meyer</v>
      </c>
      <c s="72" t="str">
        <f>IF('[1]Leakage Tree Data'!B47&lt;&gt;"",'[1]Leakage Tree Data'!B47,"")</f>
        <v>Total US - GroceryX</v>
      </c>
      <c s="72">
        <f>IF('[1]Leakage Tree Data'!C47&lt;&gt;"",'[1]Leakage Tree Data'!C47,"")</f>
        <v>121171760.292236</v>
      </c>
      <c s="72">
        <f>IF('[1]Leakage Tree Data'!D47&lt;&gt;"",'[1]Leakage Tree Data'!D47,"")</f>
        <v>3828643.39715576</v>
      </c>
      <c s="72">
        <f>IF('[1]Leakage Tree Data'!E47&lt;&gt;"",'[1]Leakage Tree Data'!E47,"")</f>
        <v>3.15968290624979</v>
      </c>
      <c s="72">
        <f>IF('[1]Leakage Tree Data'!F47&lt;&gt;"",'[1]Leakage Tree Data'!F47,"")</f>
        <v>117343116.895081</v>
      </c>
      <c s="72">
        <f>IF('[1]Leakage Tree Data'!G47&lt;&gt;"",'[1]Leakage Tree Data'!G47,"")</f>
        <v>96.8403170937502</v>
      </c>
      <c s="72">
        <f>IF('[1]Leakage Tree Data'!H47&lt;&gt;"",'[1]Leakage Tree Data'!H47,"")</f>
        <v>61518209.9918823</v>
      </c>
      <c s="72" t="str">
        <f>IF('[1]Leakage Tree Data'!I47&lt;&gt;"",'[1]Leakage Tree Data'!I47,"")</f>
        <v>GroceryX</v>
      </c>
      <c s="72">
        <f>IF('[1]Leakage Tree Data'!J47&lt;&gt;"",'[1]Leakage Tree Data'!J47,"")</f>
        <v>98.8075727050512</v>
      </c>
      <c s="72">
        <f>IF('[1]Leakage Tree Data'!K47&lt;&gt;"",'[1]Leakage Tree Data'!K47,"")</f>
        <v>733559.927307129</v>
      </c>
      <c s="72">
        <f>IF('[1]Leakage Tree Data'!L47&lt;&gt;"",'[1]Leakage Tree Data'!L47,"")</f>
        <v>1573029.33479309</v>
      </c>
      <c s="72">
        <f>IF('[1]Leakage Tree Data'!M47&lt;&gt;"",'[1]Leakage Tree Data'!M47,"")</f>
        <v>8947260.52957344</v>
      </c>
      <c s="72">
        <f>IF('[1]Leakage Tree Data'!N47&lt;&gt;"",'[1]Leakage Tree Data'!N47,"")</f>
        <v>1573029.33479309</v>
      </c>
      <c s="72">
        <f>IF('[1]Leakage Tree Data'!O47&lt;&gt;"",'[1]Leakage Tree Data'!O47,"")</f>
        <v>38.8669563017578</v>
      </c>
      <c s="72">
        <f>IF('[1]Leakage Tree Data'!P47&lt;&gt;"",'[1]Leakage Tree Data'!P47,"")</f>
        <v>689292.001213403</v>
      </c>
      <c s="72">
        <f>IF('[1]Leakage Tree Data'!Q47&lt;&gt;"",'[1]Leakage Tree Data'!Q47,"")</f>
      </c>
      <c s="72">
        <f>IF('[1]Leakage Tree Data'!R47&lt;&gt;"",'[1]Leakage Tree Data'!R47,"")</f>
        <v>1017625.85098267</v>
      </c>
      <c s="72">
        <f>IF('[1]Leakage Tree Data'!S47&lt;&gt;"",'[1]Leakage Tree Data'!S47,"")</f>
        <v>83852.2239990234</v>
      </c>
      <c s="72">
        <f>IF('[1]Leakage Tree Data'!T47&lt;&gt;"",'[1]Leakage Tree Data'!T47,"")</f>
        <v>0.0430267956873522</v>
      </c>
      <c s="72">
        <f>IF('[1]Leakage Tree Data'!U47&lt;&gt;"",'[1]Leakage Tree Data'!U47,"")</f>
        <v>933773.626983643</v>
      </c>
      <c s="72">
        <f>IF('[1]Leakage Tree Data'!V47&lt;&gt;"",'[1]Leakage Tree Data'!V47,"")</f>
        <v>-0.0430267956873536</v>
      </c>
      <c s="72">
        <f>IF('[1]Leakage Tree Data'!W47&lt;&gt;"",'[1]Leakage Tree Data'!W47,"")</f>
        <v>-1855949.2237854</v>
      </c>
      <c s="72">
        <f>IF('[1]Leakage Tree Data'!X47&lt;&gt;"",'[1]Leakage Tree Data'!X47,"")</f>
      </c>
      <c s="72">
        <f>IF('[1]Leakage Tree Data'!Y47&lt;&gt;"",'[1]Leakage Tree Data'!Y47,"")</f>
        <v>0.00601222934430723</v>
      </c>
      <c s="72">
        <f>IF('[1]Leakage Tree Data'!Z47&lt;&gt;"",'[1]Leakage Tree Data'!Z47,"")</f>
        <v>-25941.044921875</v>
      </c>
      <c s="72">
        <f>IF('[1]Leakage Tree Data'!AA47&lt;&gt;"",'[1]Leakage Tree Data'!AA47,"")</f>
        <v>-1172242.80143738</v>
      </c>
      <c s="72">
        <f>IF('[1]Leakage Tree Data'!AB47&lt;&gt;"",'[1]Leakage Tree Data'!AB47,"")</f>
        <v>1626400.27356911</v>
      </c>
      <c s="72">
        <f>IF('[1]Leakage Tree Data'!AC47&lt;&gt;"",'[1]Leakage Tree Data'!AC47,"")</f>
        <v>-1172242.80143738</v>
      </c>
      <c s="72">
        <f>IF('[1]Leakage Tree Data'!AD47&lt;&gt;"",'[1]Leakage Tree Data'!AD47,"")</f>
        <v>-0.14555407723762</v>
      </c>
      <c s="72">
        <f>IF('[1]Leakage Tree Data'!AE47&lt;&gt;"",'[1]Leakage Tree Data'!AE47,"")</f>
      </c>
      <c s="73">
        <f t="shared" si="49"/>
      </c>
      <c s="73">
        <f t="shared" si="50"/>
      </c>
      <c s="73">
        <f t="shared" si="51"/>
      </c>
      <c s="73">
        <f t="shared" si="52"/>
      </c>
      <c s="74">
        <f t="shared" si="53"/>
      </c>
      <c s="74">
        <f t="shared" si="54"/>
      </c>
      <c s="69" t="str">
        <f t="shared" si="0"/>
        <v>Total US - Fred Meyer</v>
      </c>
      <c s="69" t="str">
        <f t="shared" si="1"/>
        <v>Total US - GroceryX</v>
      </c>
      <c s="77"/>
    </row>
    <row r="149" spans="1:141" ht="15">
      <c r="A14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 t="shared" si="31"/>
      </c>
      <c s="76">
        <f t="shared" si="32"/>
      </c>
      <c s="75">
        <f t="shared" si="33"/>
      </c>
      <c s="76">
        <f t="shared" si="34"/>
      </c>
      <c s="75">
        <f t="shared" si="35"/>
      </c>
      <c s="76">
        <f t="shared" si="36"/>
      </c>
      <c s="75">
        <f t="shared" si="37"/>
      </c>
      <c s="76">
        <f t="shared" si="38"/>
      </c>
      <c s="75">
        <f t="shared" si="29"/>
      </c>
      <c s="76">
        <f t="shared" si="39"/>
      </c>
      <c s="75">
        <f t="shared" si="40"/>
      </c>
      <c s="76">
        <f t="shared" si="41"/>
      </c>
      <c s="75">
        <f t="shared" si="42"/>
      </c>
      <c s="76">
        <f t="shared" si="43"/>
      </c>
      <c s="75">
        <f t="shared" si="44"/>
      </c>
      <c s="76">
        <f t="shared" si="45"/>
      </c>
      <c s="75">
        <f t="shared" si="46"/>
      </c>
      <c s="76">
        <f t="shared" si="47"/>
      </c>
      <c s="75">
        <f t="shared" si="30"/>
      </c>
      <c s="76">
        <f t="shared" si="48"/>
      </c>
      <c s="65" t="str">
        <f t="shared" si="19"/>
        <v>Fresh &amp; Easy Neighborhood</v>
      </c>
      <c s="65" t="str">
        <f t="shared" si="20"/>
        <v>GroceryX</v>
      </c>
      <c s="72" t="str">
        <f>IF('[1]Leakage Tree Data'!A48&lt;&gt;"",'[1]Leakage Tree Data'!A48,"")</f>
        <v>Total US - Fresh &amp; Easy Neighborhood</v>
      </c>
      <c s="72" t="str">
        <f>IF('[1]Leakage Tree Data'!B48&lt;&gt;"",'[1]Leakage Tree Data'!B48,"")</f>
        <v>Total US - GroceryX</v>
      </c>
      <c s="72">
        <f>IF('[1]Leakage Tree Data'!C48&lt;&gt;"",'[1]Leakage Tree Data'!C48,"")</f>
        <v>121171760.292236</v>
      </c>
      <c s="72">
        <f>IF('[1]Leakage Tree Data'!D48&lt;&gt;"",'[1]Leakage Tree Data'!D48,"")</f>
        <v>1436724.10437012</v>
      </c>
      <c s="72">
        <f>IF('[1]Leakage Tree Data'!E48&lt;&gt;"",'[1]Leakage Tree Data'!E48,"")</f>
        <v>1.1856921950338</v>
      </c>
      <c s="72">
        <f>IF('[1]Leakage Tree Data'!F48&lt;&gt;"",'[1]Leakage Tree Data'!F48,"")</f>
        <v>119735036.187866</v>
      </c>
      <c s="72">
        <f>IF('[1]Leakage Tree Data'!G48&lt;&gt;"",'[1]Leakage Tree Data'!G48,"")</f>
        <v>98.8143078049662</v>
      </c>
      <c s="72">
        <f>IF('[1]Leakage Tree Data'!H48&lt;&gt;"",'[1]Leakage Tree Data'!H48,"")</f>
        <v>61518209.9918823</v>
      </c>
      <c s="72" t="str">
        <f>IF('[1]Leakage Tree Data'!I48&lt;&gt;"",'[1]Leakage Tree Data'!I48,"")</f>
        <v>GroceryX</v>
      </c>
      <c s="72">
        <f>IF('[1]Leakage Tree Data'!J48&lt;&gt;"",'[1]Leakage Tree Data'!J48,"")</f>
      </c>
      <c s="72">
        <f>IF('[1]Leakage Tree Data'!K48&lt;&gt;"",'[1]Leakage Tree Data'!K48,"")</f>
      </c>
      <c s="72">
        <f>IF('[1]Leakage Tree Data'!L48&lt;&gt;"",'[1]Leakage Tree Data'!L48,"")</f>
      </c>
      <c s="72">
        <f>IF('[1]Leakage Tree Data'!M48&lt;&gt;"",'[1]Leakage Tree Data'!M48,"")</f>
      </c>
      <c s="72">
        <f>IF('[1]Leakage Tree Data'!N48&lt;&gt;"",'[1]Leakage Tree Data'!N48,"")</f>
      </c>
      <c s="72">
        <f>IF('[1]Leakage Tree Data'!O48&lt;&gt;"",'[1]Leakage Tree Data'!O48,"")</f>
      </c>
      <c s="72">
        <f>IF('[1]Leakage Tree Data'!P48&lt;&gt;"",'[1]Leakage Tree Data'!P48,"")</f>
      </c>
      <c s="72">
        <f>IF('[1]Leakage Tree Data'!Q48&lt;&gt;"",'[1]Leakage Tree Data'!Q48,"")</f>
      </c>
      <c s="72">
        <f>IF('[1]Leakage Tree Data'!R48&lt;&gt;"",'[1]Leakage Tree Data'!R48,"")</f>
        <v>1017625.85098267</v>
      </c>
      <c s="72">
        <f>IF('[1]Leakage Tree Data'!S48&lt;&gt;"",'[1]Leakage Tree Data'!S48,"")</f>
        <v>-501982.135375977</v>
      </c>
      <c s="72">
        <f>IF('[1]Leakage Tree Data'!T48&lt;&gt;"",'[1]Leakage Tree Data'!T48,"")</f>
        <v>-0.427823851468927</v>
      </c>
      <c s="72">
        <f>IF('[1]Leakage Tree Data'!U48&lt;&gt;"",'[1]Leakage Tree Data'!U48,"")</f>
        <v>1519607.98635864</v>
      </c>
      <c s="72">
        <f>IF('[1]Leakage Tree Data'!V48&lt;&gt;"",'[1]Leakage Tree Data'!V48,"")</f>
        <v>0.427823851468929</v>
      </c>
      <c s="72">
        <f>IF('[1]Leakage Tree Data'!W48&lt;&gt;"",'[1]Leakage Tree Data'!W48,"")</f>
        <v>-1855949.2237854</v>
      </c>
      <c s="72">
        <f>IF('[1]Leakage Tree Data'!X48&lt;&gt;"",'[1]Leakage Tree Data'!X48,"")</f>
      </c>
      <c s="72">
        <f>IF('[1]Leakage Tree Data'!Y48&lt;&gt;"",'[1]Leakage Tree Data'!Y48,"")</f>
      </c>
      <c s="72">
        <f>IF('[1]Leakage Tree Data'!Z48&lt;&gt;"",'[1]Leakage Tree Data'!Z48,"")</f>
      </c>
      <c s="72">
        <f>IF('[1]Leakage Tree Data'!AA48&lt;&gt;"",'[1]Leakage Tree Data'!AA48,"")</f>
      </c>
      <c s="72">
        <f>IF('[1]Leakage Tree Data'!AB48&lt;&gt;"",'[1]Leakage Tree Data'!AB48,"")</f>
      </c>
      <c s="72">
        <f>IF('[1]Leakage Tree Data'!AC48&lt;&gt;"",'[1]Leakage Tree Data'!AC48,"")</f>
      </c>
      <c s="72">
        <f>IF('[1]Leakage Tree Data'!AD48&lt;&gt;"",'[1]Leakage Tree Data'!AD48,"")</f>
      </c>
      <c s="72">
        <f>IF('[1]Leakage Tree Data'!AE48&lt;&gt;"",'[1]Leakage Tree Data'!AE48,"")</f>
      </c>
      <c s="73">
        <f t="shared" si="49"/>
      </c>
      <c s="73">
        <f t="shared" si="50"/>
      </c>
      <c s="73">
        <f t="shared" si="51"/>
      </c>
      <c s="73">
        <f t="shared" si="52"/>
      </c>
      <c s="74">
        <f t="shared" si="53"/>
      </c>
      <c s="74">
        <f t="shared" si="54"/>
      </c>
      <c s="69" t="str">
        <f t="shared" si="0"/>
        <v>Total US - Fresh &amp; Easy Neighborhood</v>
      </c>
      <c s="69" t="str">
        <f t="shared" si="1"/>
        <v>Total US - GroceryX</v>
      </c>
      <c s="77"/>
    </row>
    <row r="150" spans="1:141" ht="15">
      <c r="A15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 t="shared" si="31"/>
      </c>
      <c s="76">
        <f t="shared" si="32"/>
      </c>
      <c s="75">
        <f t="shared" si="33"/>
      </c>
      <c s="76">
        <f t="shared" si="34"/>
      </c>
      <c s="75">
        <f t="shared" si="35"/>
      </c>
      <c s="76">
        <f t="shared" si="36"/>
      </c>
      <c s="75">
        <f t="shared" si="37"/>
      </c>
      <c s="76">
        <f t="shared" si="38"/>
      </c>
      <c s="75">
        <f t="shared" si="29"/>
      </c>
      <c s="76">
        <f t="shared" si="39"/>
      </c>
      <c s="75">
        <f t="shared" si="40"/>
      </c>
      <c s="76">
        <f t="shared" si="41"/>
      </c>
      <c s="75">
        <f t="shared" si="42"/>
      </c>
      <c s="76">
        <f t="shared" si="43"/>
      </c>
      <c s="75">
        <f t="shared" si="44"/>
      </c>
      <c s="76">
        <f t="shared" si="45"/>
      </c>
      <c s="75">
        <f t="shared" si="46"/>
      </c>
      <c s="76">
        <f t="shared" si="47"/>
      </c>
      <c s="75">
        <f t="shared" si="30"/>
      </c>
      <c s="76">
        <f t="shared" si="48"/>
      </c>
      <c s="65" t="str">
        <f t="shared" si="19"/>
        <v>Fresh Market</v>
      </c>
      <c s="65" t="str">
        <f t="shared" si="20"/>
        <v>GroceryX</v>
      </c>
      <c s="72" t="str">
        <f>IF('[1]Leakage Tree Data'!A49&lt;&gt;"",'[1]Leakage Tree Data'!A49,"")</f>
        <v>Total US - Fresh Market</v>
      </c>
      <c s="72" t="str">
        <f>IF('[1]Leakage Tree Data'!B49&lt;&gt;"",'[1]Leakage Tree Data'!B49,"")</f>
        <v>Total US - GroceryX</v>
      </c>
      <c s="72">
        <f>IF('[1]Leakage Tree Data'!C49&lt;&gt;"",'[1]Leakage Tree Data'!C49,"")</f>
        <v>121171760.292236</v>
      </c>
      <c s="72">
        <f>IF('[1]Leakage Tree Data'!D49&lt;&gt;"",'[1]Leakage Tree Data'!D49,"")</f>
        <v>1556644.13745117</v>
      </c>
      <c s="72">
        <f>IF('[1]Leakage Tree Data'!E49&lt;&gt;"",'[1]Leakage Tree Data'!E49,"")</f>
        <v>1.28465917611243</v>
      </c>
      <c s="72">
        <f>IF('[1]Leakage Tree Data'!F49&lt;&gt;"",'[1]Leakage Tree Data'!F49,"")</f>
        <v>119615116.154785</v>
      </c>
      <c s="72">
        <f>IF('[1]Leakage Tree Data'!G49&lt;&gt;"",'[1]Leakage Tree Data'!G49,"")</f>
        <v>98.7153408238876</v>
      </c>
      <c s="72">
        <f>IF('[1]Leakage Tree Data'!H49&lt;&gt;"",'[1]Leakage Tree Data'!H49,"")</f>
        <v>61518209.9918823</v>
      </c>
      <c s="72" t="str">
        <f>IF('[1]Leakage Tree Data'!I49&lt;&gt;"",'[1]Leakage Tree Data'!I49,"")</f>
        <v>GroceryX</v>
      </c>
      <c s="72">
        <f>IF('[1]Leakage Tree Data'!J49&lt;&gt;"",'[1]Leakage Tree Data'!J49,"")</f>
      </c>
      <c s="72">
        <f>IF('[1]Leakage Tree Data'!K49&lt;&gt;"",'[1]Leakage Tree Data'!K49,"")</f>
      </c>
      <c s="72">
        <f>IF('[1]Leakage Tree Data'!L49&lt;&gt;"",'[1]Leakage Tree Data'!L49,"")</f>
      </c>
      <c s="72">
        <f>IF('[1]Leakage Tree Data'!M49&lt;&gt;"",'[1]Leakage Tree Data'!M49,"")</f>
      </c>
      <c s="72">
        <f>IF('[1]Leakage Tree Data'!N49&lt;&gt;"",'[1]Leakage Tree Data'!N49,"")</f>
      </c>
      <c s="72">
        <f>IF('[1]Leakage Tree Data'!O49&lt;&gt;"",'[1]Leakage Tree Data'!O49,"")</f>
      </c>
      <c s="72">
        <f>IF('[1]Leakage Tree Data'!P49&lt;&gt;"",'[1]Leakage Tree Data'!P49,"")</f>
      </c>
      <c s="72">
        <f>IF('[1]Leakage Tree Data'!Q49&lt;&gt;"",'[1]Leakage Tree Data'!Q49,"")</f>
      </c>
      <c s="72">
        <f>IF('[1]Leakage Tree Data'!R49&lt;&gt;"",'[1]Leakage Tree Data'!R49,"")</f>
        <v>1017625.85098267</v>
      </c>
      <c s="72">
        <f>IF('[1]Leakage Tree Data'!S49&lt;&gt;"",'[1]Leakage Tree Data'!S49,"")</f>
        <v>13113.4857177734</v>
      </c>
      <c s="72">
        <f>IF('[1]Leakage Tree Data'!T49&lt;&gt;"",'[1]Leakage Tree Data'!T49,"")</f>
        <v>3.36749499469935E-05</v>
      </c>
      <c s="72">
        <f>IF('[1]Leakage Tree Data'!U49&lt;&gt;"",'[1]Leakage Tree Data'!U49,"")</f>
        <v>1004512.36526489</v>
      </c>
      <c s="72">
        <f>IF('[1]Leakage Tree Data'!V49&lt;&gt;"",'[1]Leakage Tree Data'!V49,"")</f>
        <v>-3.36749499467714E-05</v>
      </c>
      <c s="72">
        <f>IF('[1]Leakage Tree Data'!W49&lt;&gt;"",'[1]Leakage Tree Data'!W49,"")</f>
        <v>-1855949.2237854</v>
      </c>
      <c s="72">
        <f>IF('[1]Leakage Tree Data'!X49&lt;&gt;"",'[1]Leakage Tree Data'!X49,"")</f>
      </c>
      <c s="72">
        <f>IF('[1]Leakage Tree Data'!Y49&lt;&gt;"",'[1]Leakage Tree Data'!Y49,"")</f>
      </c>
      <c s="72">
        <f>IF('[1]Leakage Tree Data'!Z49&lt;&gt;"",'[1]Leakage Tree Data'!Z49,"")</f>
      </c>
      <c s="72">
        <f>IF('[1]Leakage Tree Data'!AA49&lt;&gt;"",'[1]Leakage Tree Data'!AA49,"")</f>
      </c>
      <c s="72">
        <f>IF('[1]Leakage Tree Data'!AB49&lt;&gt;"",'[1]Leakage Tree Data'!AB49,"")</f>
      </c>
      <c s="72">
        <f>IF('[1]Leakage Tree Data'!AC49&lt;&gt;"",'[1]Leakage Tree Data'!AC49,"")</f>
      </c>
      <c s="72">
        <f>IF('[1]Leakage Tree Data'!AD49&lt;&gt;"",'[1]Leakage Tree Data'!AD49,"")</f>
      </c>
      <c s="72">
        <f>IF('[1]Leakage Tree Data'!AE49&lt;&gt;"",'[1]Leakage Tree Data'!AE49,"")</f>
      </c>
      <c s="73">
        <f t="shared" si="49"/>
      </c>
      <c s="73">
        <f t="shared" si="50"/>
      </c>
      <c s="73">
        <f t="shared" si="51"/>
      </c>
      <c s="73">
        <f t="shared" si="52"/>
      </c>
      <c s="74">
        <f t="shared" si="53"/>
      </c>
      <c s="74">
        <f t="shared" si="54"/>
      </c>
      <c s="69" t="str">
        <f t="shared" si="0"/>
        <v>Total US - Fresh Market</v>
      </c>
      <c s="69" t="str">
        <f t="shared" si="1"/>
        <v>Total US - GroceryX</v>
      </c>
      <c s="77"/>
    </row>
    <row r="151" spans="1:141" ht="15">
      <c r="A15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 t="shared" si="31"/>
      </c>
      <c s="76">
        <f t="shared" si="32"/>
      </c>
      <c s="75">
        <f t="shared" si="33"/>
        <v>3679394.31938171</v>
      </c>
      <c s="76">
        <f t="shared" si="34"/>
        <v>13</v>
      </c>
      <c s="75">
        <f t="shared" si="35"/>
      </c>
      <c s="76">
        <f t="shared" si="36"/>
      </c>
      <c s="75">
        <f t="shared" si="37"/>
      </c>
      <c s="76">
        <f t="shared" si="38"/>
      </c>
      <c s="75">
        <f t="shared" si="29"/>
      </c>
      <c s="76">
        <f t="shared" si="39"/>
      </c>
      <c s="75">
        <f t="shared" si="40"/>
      </c>
      <c s="76">
        <f t="shared" si="41"/>
      </c>
      <c s="75">
        <f t="shared" si="42"/>
        <v>7295317.32318115</v>
      </c>
      <c s="76">
        <f t="shared" si="43"/>
        <v>22</v>
      </c>
      <c s="75">
        <f t="shared" si="44"/>
      </c>
      <c s="76">
        <f t="shared" si="45"/>
      </c>
      <c s="75">
        <f t="shared" si="46"/>
      </c>
      <c s="76">
        <f t="shared" si="47"/>
      </c>
      <c s="75">
        <f t="shared" si="30"/>
      </c>
      <c s="76">
        <f t="shared" si="48"/>
      </c>
      <c s="65" t="str">
        <f t="shared" si="19"/>
        <v>Frys</v>
      </c>
      <c s="65" t="str">
        <f t="shared" si="20"/>
        <v>GroceryX</v>
      </c>
      <c s="72" t="str">
        <f>IF('[1]Leakage Tree Data'!A50&lt;&gt;"",'[1]Leakage Tree Data'!A50,"")</f>
        <v>Total US - Frys</v>
      </c>
      <c s="72" t="str">
        <f>IF('[1]Leakage Tree Data'!B50&lt;&gt;"",'[1]Leakage Tree Data'!B50,"")</f>
        <v>Total US - GroceryX</v>
      </c>
      <c s="72">
        <f>IF('[1]Leakage Tree Data'!C50&lt;&gt;"",'[1]Leakage Tree Data'!C50,"")</f>
        <v>121171760.292236</v>
      </c>
      <c s="72">
        <f>IF('[1]Leakage Tree Data'!D50&lt;&gt;"",'[1]Leakage Tree Data'!D50,"")</f>
        <v>2046207.90725708</v>
      </c>
      <c s="72">
        <f>IF('[1]Leakage Tree Data'!E50&lt;&gt;"",'[1]Leakage Tree Data'!E50,"")</f>
        <v>1.68868381735326</v>
      </c>
      <c s="72">
        <f>IF('[1]Leakage Tree Data'!F50&lt;&gt;"",'[1]Leakage Tree Data'!F50,"")</f>
        <v>119125552.384979</v>
      </c>
      <c s="72">
        <f>IF('[1]Leakage Tree Data'!G50&lt;&gt;"",'[1]Leakage Tree Data'!G50,"")</f>
        <v>98.3113161826467</v>
      </c>
      <c s="72">
        <f>IF('[1]Leakage Tree Data'!H50&lt;&gt;"",'[1]Leakage Tree Data'!H50,"")</f>
        <v>61518209.9918823</v>
      </c>
      <c s="72" t="str">
        <f>IF('[1]Leakage Tree Data'!I50&lt;&gt;"",'[1]Leakage Tree Data'!I50,"")</f>
        <v>GroceryX</v>
      </c>
      <c s="72">
        <f>IF('[1]Leakage Tree Data'!J50&lt;&gt;"",'[1]Leakage Tree Data'!J50,"")</f>
        <v>99.0705836780477</v>
      </c>
      <c s="72">
        <f>IF('[1]Leakage Tree Data'!K50&lt;&gt;"",'[1]Leakage Tree Data'!K50,"")</f>
        <v>571760.284637451</v>
      </c>
      <c s="72">
        <f>IF('[1]Leakage Tree Data'!L50&lt;&gt;"",'[1]Leakage Tree Data'!L50,"")</f>
        <v>3679394.31938171</v>
      </c>
      <c s="72">
        <f>IF('[1]Leakage Tree Data'!M50&lt;&gt;"",'[1]Leakage Tree Data'!M50,"")</f>
        <v>7295317.32318115</v>
      </c>
      <c s="72">
        <f>IF('[1]Leakage Tree Data'!N50&lt;&gt;"",'[1]Leakage Tree Data'!N50,"")</f>
        <v>3679394.31938171</v>
      </c>
      <c s="72">
        <f>IF('[1]Leakage Tree Data'!O50&lt;&gt;"",'[1]Leakage Tree Data'!O50,"")</f>
        <v>48.9083166431753</v>
      </c>
      <c s="72">
        <f>IF('[1]Leakage Tree Data'!P50&lt;&gt;"",'[1]Leakage Tree Data'!P50,"")</f>
        <v>509956.723426754</v>
      </c>
      <c s="72">
        <f>IF('[1]Leakage Tree Data'!Q50&lt;&gt;"",'[1]Leakage Tree Data'!Q50,"")</f>
      </c>
      <c s="72">
        <f>IF('[1]Leakage Tree Data'!R50&lt;&gt;"",'[1]Leakage Tree Data'!R50,"")</f>
        <v>1017625.85098267</v>
      </c>
      <c s="72">
        <f>IF('[1]Leakage Tree Data'!S50&lt;&gt;"",'[1]Leakage Tree Data'!S50,"")</f>
        <v>-10099.5990905762</v>
      </c>
      <c s="72">
        <f>IF('[1]Leakage Tree Data'!T50&lt;&gt;"",'[1]Leakage Tree Data'!T50,"")</f>
        <v>-0.022707568311487</v>
      </c>
      <c s="72">
        <f>IF('[1]Leakage Tree Data'!U50&lt;&gt;"",'[1]Leakage Tree Data'!U50,"")</f>
        <v>1027725.45007324</v>
      </c>
      <c s="72">
        <f>IF('[1]Leakage Tree Data'!V50&lt;&gt;"",'[1]Leakage Tree Data'!V50,"")</f>
        <v>0.022707568311489</v>
      </c>
      <c s="72">
        <f>IF('[1]Leakage Tree Data'!W50&lt;&gt;"",'[1]Leakage Tree Data'!W50,"")</f>
        <v>-1855949.2237854</v>
      </c>
      <c s="72">
        <f>IF('[1]Leakage Tree Data'!X50&lt;&gt;"",'[1]Leakage Tree Data'!X50,"")</f>
      </c>
      <c s="72">
        <f>IF('[1]Leakage Tree Data'!Y50&lt;&gt;"",'[1]Leakage Tree Data'!Y50,"")</f>
        <v>0.0283732036385231</v>
      </c>
      <c s="72">
        <f>IF('[1]Leakage Tree Data'!Z50&lt;&gt;"",'[1]Leakage Tree Data'!Z50,"")</f>
        <v>-35230.7742614746</v>
      </c>
      <c s="72">
        <f>IF('[1]Leakage Tree Data'!AA50&lt;&gt;"",'[1]Leakage Tree Data'!AA50,"")</f>
        <v>393237.020004272</v>
      </c>
      <c s="72">
        <f>IF('[1]Leakage Tree Data'!AB50&lt;&gt;"",'[1]Leakage Tree Data'!AB50,"")</f>
        <v>-336759.364456177</v>
      </c>
      <c s="72">
        <f>IF('[1]Leakage Tree Data'!AC50&lt;&gt;"",'[1]Leakage Tree Data'!AC50,"")</f>
        <v>393237.020004272</v>
      </c>
      <c s="72">
        <f>IF('[1]Leakage Tree Data'!AD50&lt;&gt;"",'[1]Leakage Tree Data'!AD50,"")</f>
        <v>-1.29358660459402</v>
      </c>
      <c s="72">
        <f>IF('[1]Leakage Tree Data'!AE50&lt;&gt;"",'[1]Leakage Tree Data'!AE50,"")</f>
      </c>
      <c s="73">
        <f t="shared" si="49"/>
      </c>
      <c s="73">
        <f t="shared" si="50"/>
      </c>
      <c s="73">
        <f t="shared" si="51"/>
      </c>
      <c s="73">
        <f t="shared" si="52"/>
      </c>
      <c s="74">
        <f t="shared" si="53"/>
      </c>
      <c s="74">
        <f t="shared" si="54"/>
      </c>
      <c s="69" t="str">
        <f t="shared" si="0"/>
        <v>Total US - Frys</v>
      </c>
      <c s="69" t="str">
        <f t="shared" si="1"/>
        <v>Total US - GroceryX</v>
      </c>
      <c s="77"/>
    </row>
    <row r="152" spans="1:141" ht="15">
      <c r="A15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 t="shared" si="31"/>
      </c>
      <c s="76">
        <f t="shared" si="32"/>
      </c>
      <c s="75">
        <f t="shared" si="33"/>
        <v>3777129.27478027</v>
      </c>
      <c s="76">
        <f t="shared" si="34"/>
        <v>11</v>
      </c>
      <c s="75">
        <f t="shared" si="35"/>
      </c>
      <c s="76">
        <f t="shared" si="36"/>
      </c>
      <c s="75">
        <f t="shared" si="37"/>
      </c>
      <c s="76">
        <f t="shared" si="38"/>
      </c>
      <c s="75">
        <f t="shared" si="29"/>
      </c>
      <c s="76">
        <f t="shared" si="39"/>
      </c>
      <c s="75">
        <f t="shared" si="40"/>
      </c>
      <c s="76">
        <f t="shared" si="41"/>
      </c>
      <c s="75">
        <f t="shared" si="42"/>
        <v>8506426.90653992</v>
      </c>
      <c s="76">
        <f t="shared" si="43"/>
        <v>16</v>
      </c>
      <c s="75">
        <f t="shared" si="44"/>
      </c>
      <c s="76">
        <f t="shared" si="45"/>
      </c>
      <c s="75">
        <f t="shared" si="46"/>
      </c>
      <c s="76">
        <f t="shared" si="47"/>
      </c>
      <c s="75">
        <f t="shared" si="30"/>
      </c>
      <c s="76">
        <f t="shared" si="48"/>
      </c>
      <c s="65" t="str">
        <f t="shared" si="19"/>
        <v>Giant Eagle</v>
      </c>
      <c s="65" t="str">
        <f t="shared" si="20"/>
        <v>GroceryX</v>
      </c>
      <c s="72" t="str">
        <f>IF('[1]Leakage Tree Data'!A51&lt;&gt;"",'[1]Leakage Tree Data'!A51,"")</f>
        <v>Total US - Giant Eagle</v>
      </c>
      <c s="72" t="str">
        <f>IF('[1]Leakage Tree Data'!B51&lt;&gt;"",'[1]Leakage Tree Data'!B51,"")</f>
        <v>Total US - GroceryX</v>
      </c>
      <c s="72">
        <f>IF('[1]Leakage Tree Data'!C51&lt;&gt;"",'[1]Leakage Tree Data'!C51,"")</f>
        <v>121171760.292236</v>
      </c>
      <c s="72">
        <f>IF('[1]Leakage Tree Data'!D51&lt;&gt;"",'[1]Leakage Tree Data'!D51,"")</f>
        <v>3484030.17138672</v>
      </c>
      <c s="72">
        <f>IF('[1]Leakage Tree Data'!E51&lt;&gt;"",'[1]Leakage Tree Data'!E51,"")</f>
        <v>2.87528229596079</v>
      </c>
      <c s="72">
        <f>IF('[1]Leakage Tree Data'!F51&lt;&gt;"",'[1]Leakage Tree Data'!F51,"")</f>
        <v>117687730.12085</v>
      </c>
      <c s="72">
        <f>IF('[1]Leakage Tree Data'!G51&lt;&gt;"",'[1]Leakage Tree Data'!G51,"")</f>
        <v>97.1247177040392</v>
      </c>
      <c s="72">
        <f>IF('[1]Leakage Tree Data'!H51&lt;&gt;"",'[1]Leakage Tree Data'!H51,"")</f>
        <v>61518209.9918823</v>
      </c>
      <c s="72" t="str">
        <f>IF('[1]Leakage Tree Data'!I51&lt;&gt;"",'[1]Leakage Tree Data'!I51,"")</f>
        <v>GroceryX</v>
      </c>
      <c s="72">
        <f>IF('[1]Leakage Tree Data'!J51&lt;&gt;"",'[1]Leakage Tree Data'!J51,"")</f>
        <v>98.7126607331539</v>
      </c>
      <c s="72">
        <f>IF('[1]Leakage Tree Data'!K51&lt;&gt;"",'[1]Leakage Tree Data'!K51,"")</f>
        <v>791948.073486328</v>
      </c>
      <c s="72">
        <f>IF('[1]Leakage Tree Data'!L51&lt;&gt;"",'[1]Leakage Tree Data'!L51,"")</f>
        <v>3777129.27478027</v>
      </c>
      <c s="72">
        <f>IF('[1]Leakage Tree Data'!M51&lt;&gt;"",'[1]Leakage Tree Data'!M51,"")</f>
        <v>8506426.90653992</v>
      </c>
      <c s="72">
        <f>IF('[1]Leakage Tree Data'!N51&lt;&gt;"",'[1]Leakage Tree Data'!N51,"")</f>
        <v>3777129.27478027</v>
      </c>
      <c s="72">
        <f>IF('[1]Leakage Tree Data'!O51&lt;&gt;"",'[1]Leakage Tree Data'!O51,"")</f>
        <v>42.6773804425814</v>
      </c>
      <c s="72">
        <f>IF('[1]Leakage Tree Data'!P51&lt;&gt;"",'[1]Leakage Tree Data'!P51,"")</f>
        <v>857502.123690399</v>
      </c>
      <c s="72">
        <f>IF('[1]Leakage Tree Data'!Q51&lt;&gt;"",'[1]Leakage Tree Data'!Q51,"")</f>
      </c>
      <c s="72">
        <f>IF('[1]Leakage Tree Data'!R51&lt;&gt;"",'[1]Leakage Tree Data'!R51,"")</f>
        <v>1017625.85098267</v>
      </c>
      <c s="72">
        <f>IF('[1]Leakage Tree Data'!S51&lt;&gt;"",'[1]Leakage Tree Data'!S51,"")</f>
        <v>-50286.655090332</v>
      </c>
      <c s="72">
        <f>IF('[1]Leakage Tree Data'!T51&lt;&gt;"",'[1]Leakage Tree Data'!T51,"")</f>
        <v>-0.0662035238260144</v>
      </c>
      <c s="72">
        <f>IF('[1]Leakage Tree Data'!U51&lt;&gt;"",'[1]Leakage Tree Data'!U51,"")</f>
        <v>1067912.506073</v>
      </c>
      <c s="72">
        <f>IF('[1]Leakage Tree Data'!V51&lt;&gt;"",'[1]Leakage Tree Data'!V51,"")</f>
        <v>0.0662035238260188</v>
      </c>
      <c s="72">
        <f>IF('[1]Leakage Tree Data'!W51&lt;&gt;"",'[1]Leakage Tree Data'!W51,"")</f>
        <v>-1855949.2237854</v>
      </c>
      <c s="72">
        <f>IF('[1]Leakage Tree Data'!X51&lt;&gt;"",'[1]Leakage Tree Data'!X51,"")</f>
      </c>
      <c s="72">
        <f>IF('[1]Leakage Tree Data'!Y51&lt;&gt;"",'[1]Leakage Tree Data'!Y51,"")</f>
        <v>-0.0137328719499124</v>
      </c>
      <c s="72">
        <f>IF('[1]Leakage Tree Data'!Z51&lt;&gt;"",'[1]Leakage Tree Data'!Z51,"")</f>
        <v>-15189.2709960938</v>
      </c>
      <c s="72">
        <f>IF('[1]Leakage Tree Data'!AA51&lt;&gt;"",'[1]Leakage Tree Data'!AA51,"")</f>
        <v>-888746.874603271</v>
      </c>
      <c s="72">
        <f>IF('[1]Leakage Tree Data'!AB51&lt;&gt;"",'[1]Leakage Tree Data'!AB51,"")</f>
        <v>-1060069.9075489</v>
      </c>
      <c s="72">
        <f>IF('[1]Leakage Tree Data'!AC51&lt;&gt;"",'[1]Leakage Tree Data'!AC51,"")</f>
        <v>-888746.874603271</v>
      </c>
      <c s="72">
        <f>IF('[1]Leakage Tree Data'!AD51&lt;&gt;"",'[1]Leakage Tree Data'!AD51,"")</f>
        <v>0.531658427880899</v>
      </c>
      <c s="72">
        <f>IF('[1]Leakage Tree Data'!AE51&lt;&gt;"",'[1]Leakage Tree Data'!AE51,"")</f>
      </c>
      <c s="73">
        <f t="shared" si="49"/>
      </c>
      <c s="73">
        <f t="shared" si="50"/>
      </c>
      <c s="73">
        <f t="shared" si="51"/>
      </c>
      <c s="73">
        <f t="shared" si="52"/>
      </c>
      <c s="74">
        <f t="shared" si="53"/>
      </c>
      <c s="74">
        <f t="shared" si="54"/>
      </c>
      <c s="69" t="str">
        <f t="shared" si="0"/>
        <v>Total US - Giant Eagle</v>
      </c>
      <c s="69" t="str">
        <f t="shared" si="1"/>
        <v>Total US - GroceryX</v>
      </c>
      <c s="77"/>
    </row>
    <row r="153" spans="1:141" ht="15">
      <c r="A15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 t="shared" si="31"/>
      </c>
      <c s="76">
        <f t="shared" si="32"/>
      </c>
      <c s="75">
        <f t="shared" si="33"/>
        <v>1625432.94543839</v>
      </c>
      <c s="76">
        <f t="shared" si="34"/>
        <v>28</v>
      </c>
      <c s="75">
        <f t="shared" si="35"/>
      </c>
      <c s="76">
        <f t="shared" si="36"/>
      </c>
      <c s="75">
        <f t="shared" si="37"/>
      </c>
      <c s="76">
        <f t="shared" si="38"/>
      </c>
      <c s="75">
        <f t="shared" si="29"/>
      </c>
      <c s="76">
        <f t="shared" si="39"/>
      </c>
      <c s="75">
        <f t="shared" si="40"/>
      </c>
      <c s="76">
        <f t="shared" si="41"/>
      </c>
      <c s="75">
        <f t="shared" si="42"/>
        <v>5089870.39025879</v>
      </c>
      <c s="76">
        <f t="shared" si="43"/>
        <v>30</v>
      </c>
      <c s="75">
        <f t="shared" si="44"/>
      </c>
      <c s="76">
        <f t="shared" si="45"/>
      </c>
      <c s="75">
        <f t="shared" si="46"/>
      </c>
      <c s="76">
        <f t="shared" si="47"/>
      </c>
      <c s="75">
        <f t="shared" si="30"/>
      </c>
      <c s="76">
        <f t="shared" si="48"/>
      </c>
      <c s="65" t="str">
        <f t="shared" si="19"/>
        <v>Giant Food</v>
      </c>
      <c s="65" t="str">
        <f t="shared" si="20"/>
        <v>GroceryX</v>
      </c>
      <c s="72" t="str">
        <f>IF('[1]Leakage Tree Data'!A52&lt;&gt;"",'[1]Leakage Tree Data'!A52,"")</f>
        <v>Total US - Giant Food</v>
      </c>
      <c s="72" t="str">
        <f>IF('[1]Leakage Tree Data'!B52&lt;&gt;"",'[1]Leakage Tree Data'!B52,"")</f>
        <v>Total US - GroceryX</v>
      </c>
      <c s="72">
        <f>IF('[1]Leakage Tree Data'!C52&lt;&gt;"",'[1]Leakage Tree Data'!C52,"")</f>
        <v>121171760.292236</v>
      </c>
      <c s="72">
        <f>IF('[1]Leakage Tree Data'!D52&lt;&gt;"",'[1]Leakage Tree Data'!D52,"")</f>
        <v>2725806.11553955</v>
      </c>
      <c s="72">
        <f>IF('[1]Leakage Tree Data'!E52&lt;&gt;"",'[1]Leakage Tree Data'!E52,"")</f>
        <v>2.24953909142327</v>
      </c>
      <c s="72">
        <f>IF('[1]Leakage Tree Data'!F52&lt;&gt;"",'[1]Leakage Tree Data'!F52,"")</f>
        <v>118445954.176697</v>
      </c>
      <c s="72">
        <f>IF('[1]Leakage Tree Data'!G52&lt;&gt;"",'[1]Leakage Tree Data'!G52,"")</f>
        <v>97.7504609085767</v>
      </c>
      <c s="72">
        <f>IF('[1]Leakage Tree Data'!H52&lt;&gt;"",'[1]Leakage Tree Data'!H52,"")</f>
        <v>61518209.9918823</v>
      </c>
      <c s="72" t="str">
        <f>IF('[1]Leakage Tree Data'!I52&lt;&gt;"",'[1]Leakage Tree Data'!I52,"")</f>
        <v>GroceryX</v>
      </c>
      <c s="72">
        <f>IF('[1]Leakage Tree Data'!J52&lt;&gt;"",'[1]Leakage Tree Data'!J52,"")</f>
        <v>99.0953311751817</v>
      </c>
      <c s="72">
        <f>IF('[1]Leakage Tree Data'!K52&lt;&gt;"",'[1]Leakage Tree Data'!K52,"")</f>
        <v>556536.067382813</v>
      </c>
      <c s="72">
        <f>IF('[1]Leakage Tree Data'!L52&lt;&gt;"",'[1]Leakage Tree Data'!L52,"")</f>
        <v>1625432.94543839</v>
      </c>
      <c s="72">
        <f>IF('[1]Leakage Tree Data'!M52&lt;&gt;"",'[1]Leakage Tree Data'!M52,"")</f>
        <v>5089870.39025879</v>
      </c>
      <c s="72">
        <f>IF('[1]Leakage Tree Data'!N52&lt;&gt;"",'[1]Leakage Tree Data'!N52,"")</f>
        <v>1625432.94543839</v>
      </c>
      <c s="72">
        <f>IF('[1]Leakage Tree Data'!O52&lt;&gt;"",'[1]Leakage Tree Data'!O52,"")</f>
        <v>32.6468779674364</v>
      </c>
      <c s="72">
        <f>IF('[1]Leakage Tree Data'!P52&lt;&gt;"",'[1]Leakage Tree Data'!P52,"")</f>
        <v>507499.395550292</v>
      </c>
      <c s="72">
        <f>IF('[1]Leakage Tree Data'!Q52&lt;&gt;"",'[1]Leakage Tree Data'!Q52,"")</f>
      </c>
      <c s="72">
        <f>IF('[1]Leakage Tree Data'!R52&lt;&gt;"",'[1]Leakage Tree Data'!R52,"")</f>
        <v>1017625.85098267</v>
      </c>
      <c s="72">
        <f>IF('[1]Leakage Tree Data'!S52&lt;&gt;"",'[1]Leakage Tree Data'!S52,"")</f>
        <v>61501.5859985352</v>
      </c>
      <c s="72">
        <f>IF('[1]Leakage Tree Data'!T52&lt;&gt;"",'[1]Leakage Tree Data'!T52,"")</f>
        <v>0.0321334716077777</v>
      </c>
      <c s="72">
        <f>IF('[1]Leakage Tree Data'!U52&lt;&gt;"",'[1]Leakage Tree Data'!U52,"")</f>
        <v>956124.264984131</v>
      </c>
      <c s="72">
        <f>IF('[1]Leakage Tree Data'!V52&lt;&gt;"",'[1]Leakage Tree Data'!V52,"")</f>
        <v>-0.0321334716077644</v>
      </c>
      <c s="72">
        <f>IF('[1]Leakage Tree Data'!W52&lt;&gt;"",'[1]Leakage Tree Data'!W52,"")</f>
        <v>-1855949.2237854</v>
      </c>
      <c s="72">
        <f>IF('[1]Leakage Tree Data'!X52&lt;&gt;"",'[1]Leakage Tree Data'!X52,"")</f>
      </c>
      <c s="72">
        <f>IF('[1]Leakage Tree Data'!Y52&lt;&gt;"",'[1]Leakage Tree Data'!Y52,"")</f>
        <v>0.0570556431278675</v>
      </c>
      <c s="72">
        <f>IF('[1]Leakage Tree Data'!Z52&lt;&gt;"",'[1]Leakage Tree Data'!Z52,"")</f>
        <v>-52948.7281494141</v>
      </c>
      <c s="72">
        <f>IF('[1]Leakage Tree Data'!AA52&lt;&gt;"",'[1]Leakage Tree Data'!AA52,"")</f>
        <v>-927662.196148872</v>
      </c>
      <c s="72">
        <f>IF('[1]Leakage Tree Data'!AB52&lt;&gt;"",'[1]Leakage Tree Data'!AB52,"")</f>
        <v>-1231090.44802856</v>
      </c>
      <c s="72">
        <f>IF('[1]Leakage Tree Data'!AC52&lt;&gt;"",'[1]Leakage Tree Data'!AC52,"")</f>
        <v>-927662.196148872</v>
      </c>
      <c s="72">
        <f>IF('[1]Leakage Tree Data'!AD52&lt;&gt;"",'[1]Leakage Tree Data'!AD52,"")</f>
        <v>-2.00494538790073</v>
      </c>
      <c s="72">
        <f>IF('[1]Leakage Tree Data'!AE52&lt;&gt;"",'[1]Leakage Tree Data'!AE52,"")</f>
      </c>
      <c s="73">
        <f t="shared" si="49"/>
      </c>
      <c s="73">
        <f t="shared" si="50"/>
      </c>
      <c s="73">
        <f t="shared" si="51"/>
      </c>
      <c s="73">
        <f t="shared" si="52"/>
      </c>
      <c s="74">
        <f t="shared" si="53"/>
      </c>
      <c s="74">
        <f t="shared" si="54"/>
      </c>
      <c s="69" t="str">
        <f t="shared" si="0"/>
        <v>Total US - Giant Food</v>
      </c>
      <c s="69" t="str">
        <f t="shared" si="1"/>
        <v>Total US - GroceryX</v>
      </c>
      <c s="77"/>
    </row>
    <row r="154" spans="1:141" ht="15">
      <c r="A15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 t="shared" si="31"/>
      </c>
      <c s="76">
        <f t="shared" si="32"/>
      </c>
      <c s="75">
        <f t="shared" si="33"/>
        <v>3217027.49414063</v>
      </c>
      <c s="76">
        <f t="shared" si="34"/>
        <v>16</v>
      </c>
      <c s="75">
        <f t="shared" si="35"/>
      </c>
      <c s="76">
        <f t="shared" si="36"/>
      </c>
      <c s="75">
        <f t="shared" si="37"/>
      </c>
      <c s="76">
        <f t="shared" si="38"/>
      </c>
      <c s="75">
        <f t="shared" si="29"/>
      </c>
      <c s="76">
        <f t="shared" si="39"/>
      </c>
      <c s="75">
        <f t="shared" si="40"/>
      </c>
      <c s="76">
        <f t="shared" si="41"/>
      </c>
      <c s="75">
        <f t="shared" si="42"/>
        <v>9947258.50901031</v>
      </c>
      <c s="76">
        <f t="shared" si="43"/>
        <v>11</v>
      </c>
      <c s="75">
        <f t="shared" si="44"/>
      </c>
      <c s="76">
        <f t="shared" si="45"/>
      </c>
      <c s="75">
        <f t="shared" si="46"/>
      </c>
      <c s="76">
        <f t="shared" si="47"/>
      </c>
      <c s="75">
        <f t="shared" si="30"/>
      </c>
      <c s="76">
        <f t="shared" si="48"/>
      </c>
      <c s="65" t="str">
        <f t="shared" si="19"/>
        <v>Giant Foods</v>
      </c>
      <c s="65" t="str">
        <f t="shared" si="20"/>
        <v>GroceryX</v>
      </c>
      <c s="72" t="str">
        <f>IF('[1]Leakage Tree Data'!A53&lt;&gt;"",'[1]Leakage Tree Data'!A53,"")</f>
        <v>Total US - Giant Foods</v>
      </c>
      <c s="72" t="str">
        <f>IF('[1]Leakage Tree Data'!B53&lt;&gt;"",'[1]Leakage Tree Data'!B53,"")</f>
        <v>Total US - GroceryX</v>
      </c>
      <c s="72">
        <f>IF('[1]Leakage Tree Data'!C53&lt;&gt;"",'[1]Leakage Tree Data'!C53,"")</f>
        <v>121171760.292236</v>
      </c>
      <c s="72">
        <f>IF('[1]Leakage Tree Data'!D53&lt;&gt;"",'[1]Leakage Tree Data'!D53,"")</f>
        <v>2505863.85321045</v>
      </c>
      <c s="72">
        <f>IF('[1]Leakage Tree Data'!E53&lt;&gt;"",'[1]Leakage Tree Data'!E53,"")</f>
        <v>2.06802628530519</v>
      </c>
      <c s="72">
        <f>IF('[1]Leakage Tree Data'!F53&lt;&gt;"",'[1]Leakage Tree Data'!F53,"")</f>
        <v>118665896.439026</v>
      </c>
      <c s="72">
        <f>IF('[1]Leakage Tree Data'!G53&lt;&gt;"",'[1]Leakage Tree Data'!G53,"")</f>
        <v>97.9319737146948</v>
      </c>
      <c s="72">
        <f>IF('[1]Leakage Tree Data'!H53&lt;&gt;"",'[1]Leakage Tree Data'!H53,"")</f>
        <v>61518209.9918823</v>
      </c>
      <c s="72" t="str">
        <f>IF('[1]Leakage Tree Data'!I53&lt;&gt;"",'[1]Leakage Tree Data'!I53,"")</f>
        <v>GroceryX</v>
      </c>
      <c s="72">
        <f>IF('[1]Leakage Tree Data'!J53&lt;&gt;"",'[1]Leakage Tree Data'!J53,"")</f>
        <v>98.9211454340388</v>
      </c>
      <c s="72">
        <f>IF('[1]Leakage Tree Data'!K53&lt;&gt;"",'[1]Leakage Tree Data'!K53,"")</f>
        <v>663692.01739502</v>
      </c>
      <c s="72">
        <f>IF('[1]Leakage Tree Data'!L53&lt;&gt;"",'[1]Leakage Tree Data'!L53,"")</f>
        <v>3217027.49414063</v>
      </c>
      <c s="72">
        <f>IF('[1]Leakage Tree Data'!M53&lt;&gt;"",'[1]Leakage Tree Data'!M53,"")</f>
        <v>9947258.50901031</v>
      </c>
      <c s="72">
        <f>IF('[1]Leakage Tree Data'!N53&lt;&gt;"",'[1]Leakage Tree Data'!N53,"")</f>
        <v>3217027.49414063</v>
      </c>
      <c s="72">
        <f>IF('[1]Leakage Tree Data'!O53&lt;&gt;"",'[1]Leakage Tree Data'!O53,"")</f>
        <v>48.4130519606612</v>
      </c>
      <c s="72">
        <f>IF('[1]Leakage Tree Data'!P53&lt;&gt;"",'[1]Leakage Tree Data'!P53,"")</f>
        <v>630006.167999049</v>
      </c>
      <c s="72">
        <f>IF('[1]Leakage Tree Data'!Q53&lt;&gt;"",'[1]Leakage Tree Data'!Q53,"")</f>
      </c>
      <c s="72">
        <f>IF('[1]Leakage Tree Data'!R53&lt;&gt;"",'[1]Leakage Tree Data'!R53,"")</f>
        <v>1017625.85098267</v>
      </c>
      <c s="72">
        <f>IF('[1]Leakage Tree Data'!S53&lt;&gt;"",'[1]Leakage Tree Data'!S53,"")</f>
        <v>-50387.8199462891</v>
      </c>
      <c s="72">
        <f>IF('[1]Leakage Tree Data'!T53&lt;&gt;"",'[1]Leakage Tree Data'!T53,"")</f>
        <v>-0.0594507965646378</v>
      </c>
      <c s="72">
        <f>IF('[1]Leakage Tree Data'!U53&lt;&gt;"",'[1]Leakage Tree Data'!U53,"")</f>
        <v>1068013.67092896</v>
      </c>
      <c s="72">
        <f>IF('[1]Leakage Tree Data'!V53&lt;&gt;"",'[1]Leakage Tree Data'!V53,"")</f>
        <v>0.0594507965646329</v>
      </c>
      <c s="72">
        <f>IF('[1]Leakage Tree Data'!W53&lt;&gt;"",'[1]Leakage Tree Data'!W53,"")</f>
        <v>-1855949.2237854</v>
      </c>
      <c s="72">
        <f>IF('[1]Leakage Tree Data'!X53&lt;&gt;"",'[1]Leakage Tree Data'!X53,"")</f>
      </c>
      <c s="72">
        <f>IF('[1]Leakage Tree Data'!Y53&lt;&gt;"",'[1]Leakage Tree Data'!Y53,"")</f>
        <v>0.0567700413866561</v>
      </c>
      <c s="72">
        <f>IF('[1]Leakage Tree Data'!Z53&lt;&gt;"",'[1]Leakage Tree Data'!Z53,"")</f>
        <v>-56000.5293579102</v>
      </c>
      <c s="72">
        <f>IF('[1]Leakage Tree Data'!AA53&lt;&gt;"",'[1]Leakage Tree Data'!AA53,"")</f>
        <v>-192516.178344727</v>
      </c>
      <c s="72">
        <f>IF('[1]Leakage Tree Data'!AB53&lt;&gt;"",'[1]Leakage Tree Data'!AB53,"")</f>
        <v>-2719272.03514862</v>
      </c>
      <c s="72">
        <f>IF('[1]Leakage Tree Data'!AC53&lt;&gt;"",'[1]Leakage Tree Data'!AC53,"")</f>
        <v>-192516.178344727</v>
      </c>
      <c s="72">
        <f>IF('[1]Leakage Tree Data'!AD53&lt;&gt;"",'[1]Leakage Tree Data'!AD53,"")</f>
        <v>-1.89220383277169</v>
      </c>
      <c s="72">
        <f>IF('[1]Leakage Tree Data'!AE53&lt;&gt;"",'[1]Leakage Tree Data'!AE53,"")</f>
      </c>
      <c s="73">
        <f t="shared" si="49"/>
      </c>
      <c s="73">
        <f t="shared" si="50"/>
      </c>
      <c s="73">
        <f t="shared" si="51"/>
      </c>
      <c s="73">
        <f t="shared" si="52"/>
      </c>
      <c s="74">
        <f t="shared" si="53"/>
      </c>
      <c s="74">
        <f t="shared" si="54"/>
      </c>
      <c s="69" t="str">
        <f t="shared" si="0"/>
        <v>Total US - Giant Foods</v>
      </c>
      <c s="69" t="str">
        <f t="shared" si="1"/>
        <v>Total US - GroceryX</v>
      </c>
      <c s="77"/>
    </row>
    <row r="155" spans="1:141" ht="15">
      <c r="A15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 t="shared" si="31"/>
      </c>
      <c s="76">
        <f t="shared" si="32"/>
      </c>
      <c s="75">
        <f t="shared" si="33"/>
        <v>1012552.07986069</v>
      </c>
      <c s="76">
        <f t="shared" si="34"/>
        <v>32</v>
      </c>
      <c s="75">
        <f t="shared" si="35"/>
      </c>
      <c s="76">
        <f t="shared" si="36"/>
      </c>
      <c s="75">
        <f t="shared" si="37"/>
      </c>
      <c s="76">
        <f t="shared" si="38"/>
      </c>
      <c s="75">
        <f t="shared" si="29"/>
      </c>
      <c s="76">
        <f t="shared" si="39"/>
      </c>
      <c s="75">
        <f t="shared" si="40"/>
      </c>
      <c s="76">
        <f t="shared" si="41"/>
      </c>
      <c s="75">
        <f t="shared" si="42"/>
        <v>2246791.36231327</v>
      </c>
      <c s="76">
        <f t="shared" si="43"/>
        <v>42</v>
      </c>
      <c s="75">
        <f t="shared" si="44"/>
      </c>
      <c s="76">
        <f t="shared" si="45"/>
      </c>
      <c s="75">
        <f t="shared" si="46"/>
      </c>
      <c s="76">
        <f t="shared" si="47"/>
      </c>
      <c s="75">
        <f t="shared" si="30"/>
      </c>
      <c s="76">
        <f t="shared" si="48"/>
      </c>
      <c s="65" t="str">
        <f t="shared" si="19"/>
        <v>Grocery Outlet</v>
      </c>
      <c s="65" t="str">
        <f t="shared" si="20"/>
        <v>GroceryX</v>
      </c>
      <c s="72" t="str">
        <f>IF('[1]Leakage Tree Data'!A54&lt;&gt;"",'[1]Leakage Tree Data'!A54,"")</f>
        <v>Total US - Grocery Outlet</v>
      </c>
      <c s="72" t="str">
        <f>IF('[1]Leakage Tree Data'!B54&lt;&gt;"",'[1]Leakage Tree Data'!B54,"")</f>
        <v>Total US - GroceryX</v>
      </c>
      <c s="72">
        <f>IF('[1]Leakage Tree Data'!C54&lt;&gt;"",'[1]Leakage Tree Data'!C54,"")</f>
        <v>121171760.292236</v>
      </c>
      <c s="72">
        <f>IF('[1]Leakage Tree Data'!D54&lt;&gt;"",'[1]Leakage Tree Data'!D54,"")</f>
        <v>4500823.18206787</v>
      </c>
      <c s="72">
        <f>IF('[1]Leakage Tree Data'!E54&lt;&gt;"",'[1]Leakage Tree Data'!E54,"")</f>
        <v>3.71441594247125</v>
      </c>
      <c s="72">
        <f>IF('[1]Leakage Tree Data'!F54&lt;&gt;"",'[1]Leakage Tree Data'!F54,"")</f>
        <v>116670937.110168</v>
      </c>
      <c s="72">
        <f>IF('[1]Leakage Tree Data'!G54&lt;&gt;"",'[1]Leakage Tree Data'!G54,"")</f>
        <v>96.2855840575288</v>
      </c>
      <c s="72">
        <f>IF('[1]Leakage Tree Data'!H54&lt;&gt;"",'[1]Leakage Tree Data'!H54,"")</f>
        <v>61518209.9918823</v>
      </c>
      <c s="72" t="str">
        <f>IF('[1]Leakage Tree Data'!I54&lt;&gt;"",'[1]Leakage Tree Data'!I54,"")</f>
        <v>GroceryX</v>
      </c>
      <c s="72">
        <f>IF('[1]Leakage Tree Data'!J54&lt;&gt;"",'[1]Leakage Tree Data'!J54,"")</f>
        <v>99.3861154719536</v>
      </c>
      <c s="72">
        <f>IF('[1]Leakage Tree Data'!K54&lt;&gt;"",'[1]Leakage Tree Data'!K54,"")</f>
        <v>377650.773071289</v>
      </c>
      <c s="72">
        <f>IF('[1]Leakage Tree Data'!L54&lt;&gt;"",'[1]Leakage Tree Data'!L54,"")</f>
        <v>1012552.07986069</v>
      </c>
      <c s="72">
        <f>IF('[1]Leakage Tree Data'!M54&lt;&gt;"",'[1]Leakage Tree Data'!M54,"")</f>
        <v>2246791.36231327</v>
      </c>
      <c s="72">
        <f>IF('[1]Leakage Tree Data'!N54&lt;&gt;"",'[1]Leakage Tree Data'!N54,"")</f>
        <v>1012552.07986069</v>
      </c>
      <c s="72">
        <f>IF('[1]Leakage Tree Data'!O54&lt;&gt;"",'[1]Leakage Tree Data'!O54,"")</f>
        <v>17.332888491323</v>
      </c>
      <c s="72">
        <f>IF('[1]Leakage Tree Data'!P54&lt;&gt;"",'[1]Leakage Tree Data'!P54,"")</f>
        <v>445609.830529382</v>
      </c>
      <c s="72">
        <f>IF('[1]Leakage Tree Data'!Q54&lt;&gt;"",'[1]Leakage Tree Data'!Q54,"")</f>
      </c>
      <c s="72">
        <f>IF('[1]Leakage Tree Data'!R54&lt;&gt;"",'[1]Leakage Tree Data'!R54,"")</f>
        <v>1017625.85098267</v>
      </c>
      <c s="72">
        <f>IF('[1]Leakage Tree Data'!S54&lt;&gt;"",'[1]Leakage Tree Data'!S54,"")</f>
        <v>332714.437591553</v>
      </c>
      <c s="72">
        <f>IF('[1]Leakage Tree Data'!T54&lt;&gt;"",'[1]Leakage Tree Data'!T54,"")</f>
        <v>0.245447717733038</v>
      </c>
      <c s="72">
        <f>IF('[1]Leakage Tree Data'!U54&lt;&gt;"",'[1]Leakage Tree Data'!U54,"")</f>
        <v>684911.413391113</v>
      </c>
      <c s="72">
        <f>IF('[1]Leakage Tree Data'!V54&lt;&gt;"",'[1]Leakage Tree Data'!V54,"")</f>
        <v>-0.245447717733043</v>
      </c>
      <c s="72">
        <f>IF('[1]Leakage Tree Data'!W54&lt;&gt;"",'[1]Leakage Tree Data'!W54,"")</f>
        <v>-1855949.2237854</v>
      </c>
      <c s="72">
        <f>IF('[1]Leakage Tree Data'!X54&lt;&gt;"",'[1]Leakage Tree Data'!X54,"")</f>
      </c>
      <c s="72">
        <f>IF('[1]Leakage Tree Data'!Y54&lt;&gt;"",'[1]Leakage Tree Data'!Y54,"")</f>
        <v>0.00251217265312675</v>
      </c>
      <c s="72">
        <f>IF('[1]Leakage Tree Data'!Z54&lt;&gt;"",'[1]Leakage Tree Data'!Z54,"")</f>
        <v>-12985.4534301758</v>
      </c>
      <c s="72">
        <f>IF('[1]Leakage Tree Data'!AA54&lt;&gt;"",'[1]Leakage Tree Data'!AA54,"")</f>
        <v>-336407.183200836</v>
      </c>
      <c s="72">
        <f>IF('[1]Leakage Tree Data'!AB54&lt;&gt;"",'[1]Leakage Tree Data'!AB54,"")</f>
        <v>-888700.433707237</v>
      </c>
      <c s="72">
        <f>IF('[1]Leakage Tree Data'!AC54&lt;&gt;"",'[1]Leakage Tree Data'!AC54,"")</f>
        <v>-336407.183200836</v>
      </c>
      <c s="72">
        <f>IF('[1]Leakage Tree Data'!AD54&lt;&gt;"",'[1]Leakage Tree Data'!AD54,"")</f>
        <v>0.349942567596958</v>
      </c>
      <c s="72">
        <f>IF('[1]Leakage Tree Data'!AE54&lt;&gt;"",'[1]Leakage Tree Data'!AE54,"")</f>
      </c>
      <c s="73">
        <f t="shared" si="49"/>
      </c>
      <c s="73">
        <f t="shared" si="50"/>
      </c>
      <c s="73">
        <f t="shared" si="51"/>
      </c>
      <c s="73">
        <f t="shared" si="52"/>
      </c>
      <c s="74">
        <f t="shared" si="53"/>
      </c>
      <c s="74">
        <f t="shared" si="54"/>
      </c>
      <c s="69" t="str">
        <f t="shared" si="0"/>
        <v>Total US - Grocery Outlet</v>
      </c>
      <c s="69" t="str">
        <f t="shared" si="1"/>
        <v>Total US - GroceryX</v>
      </c>
      <c s="77"/>
    </row>
    <row r="156" spans="1:141" ht="15">
      <c r="A15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 t="shared" si="31"/>
      </c>
      <c s="76">
        <f t="shared" si="32"/>
      </c>
      <c s="75">
        <f t="shared" si="33"/>
        <v>5633573.717453</v>
      </c>
      <c s="76">
        <f t="shared" si="34"/>
        <v>6</v>
      </c>
      <c s="75">
        <f t="shared" si="35"/>
      </c>
      <c s="76">
        <f t="shared" si="36"/>
      </c>
      <c s="75">
        <f t="shared" si="37"/>
      </c>
      <c s="76">
        <f t="shared" si="38"/>
      </c>
      <c s="75">
        <f t="shared" si="29"/>
      </c>
      <c s="76">
        <f t="shared" si="39"/>
      </c>
      <c s="75">
        <f t="shared" si="40"/>
      </c>
      <c s="76">
        <f t="shared" si="41"/>
      </c>
      <c s="75">
        <f t="shared" si="42"/>
        <v>29619326.5266037</v>
      </c>
      <c s="76">
        <f t="shared" si="43"/>
        <v>5</v>
      </c>
      <c s="75">
        <f t="shared" si="44"/>
      </c>
      <c s="76">
        <f t="shared" si="45"/>
      </c>
      <c s="75">
        <f t="shared" si="46"/>
      </c>
      <c s="76">
        <f t="shared" si="47"/>
      </c>
      <c s="75">
        <f t="shared" si="30"/>
      </c>
      <c s="76">
        <f t="shared" si="48"/>
      </c>
      <c s="65" t="str">
        <f t="shared" si="19"/>
        <v>HEB</v>
      </c>
      <c s="65" t="str">
        <f t="shared" si="20"/>
        <v>GroceryX</v>
      </c>
      <c s="72" t="str">
        <f>IF('[1]Leakage Tree Data'!A55&lt;&gt;"",'[1]Leakage Tree Data'!A55,"")</f>
        <v>Total US - HEB</v>
      </c>
      <c s="72" t="str">
        <f>IF('[1]Leakage Tree Data'!B55&lt;&gt;"",'[1]Leakage Tree Data'!B55,"")</f>
        <v>Total US - GroceryX</v>
      </c>
      <c s="72">
        <f>IF('[1]Leakage Tree Data'!C55&lt;&gt;"",'[1]Leakage Tree Data'!C55,"")</f>
        <v>121171760.292236</v>
      </c>
      <c s="72">
        <f>IF('[1]Leakage Tree Data'!D55&lt;&gt;"",'[1]Leakage Tree Data'!D55,"")</f>
        <v>5546882.43322754</v>
      </c>
      <c s="72">
        <f>IF('[1]Leakage Tree Data'!E55&lt;&gt;"",'[1]Leakage Tree Data'!E55,"")</f>
        <v>4.5777022796812</v>
      </c>
      <c s="72">
        <f>IF('[1]Leakage Tree Data'!F55&lt;&gt;"",'[1]Leakage Tree Data'!F55,"")</f>
        <v>115624877.859009</v>
      </c>
      <c s="72">
        <f>IF('[1]Leakage Tree Data'!G55&lt;&gt;"",'[1]Leakage Tree Data'!G55,"")</f>
        <v>95.4222977203188</v>
      </c>
      <c s="72">
        <f>IF('[1]Leakage Tree Data'!H55&lt;&gt;"",'[1]Leakage Tree Data'!H55,"")</f>
        <v>61518209.9918823</v>
      </c>
      <c s="72" t="str">
        <f>IF('[1]Leakage Tree Data'!I55&lt;&gt;"",'[1]Leakage Tree Data'!I55,"")</f>
        <v>GroceryX</v>
      </c>
      <c s="72">
        <f>IF('[1]Leakage Tree Data'!J55&lt;&gt;"",'[1]Leakage Tree Data'!J55,"")</f>
        <v>97.4181920555775</v>
      </c>
      <c s="72">
        <f>IF('[1]Leakage Tree Data'!K55&lt;&gt;"",'[1]Leakage Tree Data'!K55,"")</f>
        <v>1588282.03283691</v>
      </c>
      <c s="72">
        <f>IF('[1]Leakage Tree Data'!L55&lt;&gt;"",'[1]Leakage Tree Data'!L55,"")</f>
        <v>5633573.717453</v>
      </c>
      <c s="72">
        <f>IF('[1]Leakage Tree Data'!M55&lt;&gt;"",'[1]Leakage Tree Data'!M55,"")</f>
        <v>29619326.5266037</v>
      </c>
      <c s="72">
        <f>IF('[1]Leakage Tree Data'!N55&lt;&gt;"",'[1]Leakage Tree Data'!N55,"")</f>
        <v>5633573.717453</v>
      </c>
      <c s="72">
        <f>IF('[1]Leakage Tree Data'!O55&lt;&gt;"",'[1]Leakage Tree Data'!O55,"")</f>
        <v>52.1709956377874</v>
      </c>
      <c s="72">
        <f>IF('[1]Leakage Tree Data'!P55&lt;&gt;"",'[1]Leakage Tree Data'!P55,"")</f>
        <v>1408834.55843545</v>
      </c>
      <c s="72">
        <f>IF('[1]Leakage Tree Data'!Q55&lt;&gt;"",'[1]Leakage Tree Data'!Q55,"")</f>
      </c>
      <c s="72">
        <f>IF('[1]Leakage Tree Data'!R55&lt;&gt;"",'[1]Leakage Tree Data'!R55,"")</f>
        <v>1017625.85098267</v>
      </c>
      <c s="72">
        <f>IF('[1]Leakage Tree Data'!S55&lt;&gt;"",'[1]Leakage Tree Data'!S55,"")</f>
        <v>144292.651489258</v>
      </c>
      <c s="72">
        <f>IF('[1]Leakage Tree Data'!T55&lt;&gt;"",'[1]Leakage Tree Data'!T55,"")</f>
        <v>0.0813195235973927</v>
      </c>
      <c s="72">
        <f>IF('[1]Leakage Tree Data'!U55&lt;&gt;"",'[1]Leakage Tree Data'!U55,"")</f>
        <v>873333.199493408</v>
      </c>
      <c s="72">
        <f>IF('[1]Leakage Tree Data'!V55&lt;&gt;"",'[1]Leakage Tree Data'!V55,"")</f>
        <v>-0.0813195235974007</v>
      </c>
      <c s="72">
        <f>IF('[1]Leakage Tree Data'!W55&lt;&gt;"",'[1]Leakage Tree Data'!W55,"")</f>
        <v>-1855949.2237854</v>
      </c>
      <c s="72">
        <f>IF('[1]Leakage Tree Data'!X55&lt;&gt;"",'[1]Leakage Tree Data'!X55,"")</f>
      </c>
      <c s="72">
        <f>IF('[1]Leakage Tree Data'!Y55&lt;&gt;"",'[1]Leakage Tree Data'!Y55,"")</f>
        <v>-0.0903079991884539</v>
      </c>
      <c s="72">
        <f>IF('[1]Leakage Tree Data'!Z55&lt;&gt;"",'[1]Leakage Tree Data'!Z55,"")</f>
        <v>9314.89068603516</v>
      </c>
      <c s="72">
        <f>IF('[1]Leakage Tree Data'!AA55&lt;&gt;"",'[1]Leakage Tree Data'!AA55,"")</f>
        <v>-4130841.30082703</v>
      </c>
      <c s="72">
        <f>IF('[1]Leakage Tree Data'!AB55&lt;&gt;"",'[1]Leakage Tree Data'!AB55,"")</f>
        <v>6233199.7734642</v>
      </c>
      <c s="72">
        <f>IF('[1]Leakage Tree Data'!AC55&lt;&gt;"",'[1]Leakage Tree Data'!AC55,"")</f>
        <v>-4130841.30082703</v>
      </c>
      <c s="72">
        <f>IF('[1]Leakage Tree Data'!AD55&lt;&gt;"",'[1]Leakage Tree Data'!AD55,"")</f>
        <v>-0.174083014193393</v>
      </c>
      <c s="72">
        <f>IF('[1]Leakage Tree Data'!AE55&lt;&gt;"",'[1]Leakage Tree Data'!AE55,"")</f>
      </c>
      <c s="73">
        <f t="shared" si="49"/>
      </c>
      <c s="73">
        <f t="shared" si="50"/>
      </c>
      <c s="73">
        <f t="shared" si="51"/>
      </c>
      <c s="73">
        <f t="shared" si="52"/>
      </c>
      <c s="74">
        <f t="shared" si="53"/>
      </c>
      <c s="74">
        <f t="shared" si="54"/>
      </c>
      <c s="69" t="str">
        <f t="shared" si="0"/>
        <v>Total US - HEB</v>
      </c>
      <c s="69" t="str">
        <f t="shared" si="1"/>
        <v>Total US - GroceryX</v>
      </c>
      <c s="77"/>
    </row>
    <row r="157" spans="1:141" ht="15">
      <c r="A15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 t="shared" si="31"/>
      </c>
      <c s="76">
        <f t="shared" si="32"/>
      </c>
      <c s="75">
        <f t="shared" si="33"/>
      </c>
      <c s="76">
        <f t="shared" si="34"/>
      </c>
      <c s="75">
        <f t="shared" si="35"/>
      </c>
      <c s="76">
        <f t="shared" si="36"/>
      </c>
      <c s="75">
        <f t="shared" si="37"/>
      </c>
      <c s="76">
        <f t="shared" si="38"/>
      </c>
      <c s="75">
        <f t="shared" si="29"/>
      </c>
      <c s="76">
        <f t="shared" si="39"/>
      </c>
      <c s="75">
        <f t="shared" si="40"/>
      </c>
      <c s="76">
        <f t="shared" si="41"/>
      </c>
      <c s="75">
        <f t="shared" si="42"/>
        <v>2200463.74072266</v>
      </c>
      <c s="76">
        <f t="shared" si="43"/>
        <v>43</v>
      </c>
      <c s="75">
        <f t="shared" si="44"/>
      </c>
      <c s="76">
        <f t="shared" si="45"/>
      </c>
      <c s="75">
        <f t="shared" si="46"/>
      </c>
      <c s="76">
        <f t="shared" si="47"/>
      </c>
      <c s="75">
        <f t="shared" si="30"/>
      </c>
      <c s="76">
        <f t="shared" si="48"/>
      </c>
      <c s="65" t="str">
        <f t="shared" si="19"/>
        <v>Hannaford</v>
      </c>
      <c s="65" t="str">
        <f t="shared" si="20"/>
        <v>GroceryX</v>
      </c>
      <c s="72" t="str">
        <f>IF('[1]Leakage Tree Data'!A56&lt;&gt;"",'[1]Leakage Tree Data'!A56,"")</f>
        <v>Total US - Hannaford</v>
      </c>
      <c s="72" t="str">
        <f>IF('[1]Leakage Tree Data'!B56&lt;&gt;"",'[1]Leakage Tree Data'!B56,"")</f>
        <v>Total US - GroceryX</v>
      </c>
      <c s="72">
        <f>IF('[1]Leakage Tree Data'!C56&lt;&gt;"",'[1]Leakage Tree Data'!C56,"")</f>
        <v>121171760.292236</v>
      </c>
      <c s="72">
        <f>IF('[1]Leakage Tree Data'!D56&lt;&gt;"",'[1]Leakage Tree Data'!D56,"")</f>
        <v>2313984.74816895</v>
      </c>
      <c s="72">
        <f>IF('[1]Leakage Tree Data'!E56&lt;&gt;"",'[1]Leakage Tree Data'!E56,"")</f>
        <v>1.90967329564924</v>
      </c>
      <c s="72">
        <f>IF('[1]Leakage Tree Data'!F56&lt;&gt;"",'[1]Leakage Tree Data'!F56,"")</f>
        <v>118857775.544067</v>
      </c>
      <c s="72">
        <f>IF('[1]Leakage Tree Data'!G56&lt;&gt;"",'[1]Leakage Tree Data'!G56,"")</f>
        <v>98.0903267043508</v>
      </c>
      <c s="72">
        <f>IF('[1]Leakage Tree Data'!H56&lt;&gt;"",'[1]Leakage Tree Data'!H56,"")</f>
        <v>61518209.9918823</v>
      </c>
      <c s="72" t="str">
        <f>IF('[1]Leakage Tree Data'!I56&lt;&gt;"",'[1]Leakage Tree Data'!I56,"")</f>
        <v>GroceryX</v>
      </c>
      <c s="72">
        <f>IF('[1]Leakage Tree Data'!J56&lt;&gt;"",'[1]Leakage Tree Data'!J56,"")</f>
        <v>99.642669671779</v>
      </c>
      <c s="72">
        <f>IF('[1]Leakage Tree Data'!K56&lt;&gt;"",'[1]Leakage Tree Data'!K56,"")</f>
        <v>219823.221679688</v>
      </c>
      <c s="72">
        <f>IF('[1]Leakage Tree Data'!L56&lt;&gt;"",'[1]Leakage Tree Data'!L56,"")</f>
      </c>
      <c s="72">
        <f>IF('[1]Leakage Tree Data'!M56&lt;&gt;"",'[1]Leakage Tree Data'!M56,"")</f>
        <v>2200463.74072266</v>
      </c>
      <c s="72">
        <f>IF('[1]Leakage Tree Data'!N56&lt;&gt;"",'[1]Leakage Tree Data'!N56,"")</f>
      </c>
      <c s="72">
        <f>IF('[1]Leakage Tree Data'!O56&lt;&gt;"",'[1]Leakage Tree Data'!O56,"")</f>
        <v>24.8452581845429</v>
      </c>
      <c s="72">
        <f>IF('[1]Leakage Tree Data'!P56&lt;&gt;"",'[1]Leakage Tree Data'!P56,"")</f>
        <v>362372.797912978</v>
      </c>
      <c s="72">
        <f>IF('[1]Leakage Tree Data'!Q56&lt;&gt;"",'[1]Leakage Tree Data'!Q56,"")</f>
      </c>
      <c s="72">
        <f>IF('[1]Leakage Tree Data'!R56&lt;&gt;"",'[1]Leakage Tree Data'!R56,"")</f>
        <v>1017625.85098267</v>
      </c>
      <c s="72">
        <f>IF('[1]Leakage Tree Data'!S56&lt;&gt;"",'[1]Leakage Tree Data'!S56,"")</f>
        <v>-81540.4313354492</v>
      </c>
      <c s="72">
        <f>IF('[1]Leakage Tree Data'!T56&lt;&gt;"",'[1]Leakage Tree Data'!T56,"")</f>
        <v>-0.0840368589319387</v>
      </c>
      <c s="72">
        <f>IF('[1]Leakage Tree Data'!U56&lt;&gt;"",'[1]Leakage Tree Data'!U56,"")</f>
        <v>1099166.28231812</v>
      </c>
      <c s="72">
        <f>IF('[1]Leakage Tree Data'!V56&lt;&gt;"",'[1]Leakage Tree Data'!V56,"")</f>
        <v>0.0840368589319382</v>
      </c>
      <c s="72">
        <f>IF('[1]Leakage Tree Data'!W56&lt;&gt;"",'[1]Leakage Tree Data'!W56,"")</f>
        <v>-1855949.2237854</v>
      </c>
      <c s="72">
        <f>IF('[1]Leakage Tree Data'!X56&lt;&gt;"",'[1]Leakage Tree Data'!X56,"")</f>
      </c>
      <c s="72">
        <f>IF('[1]Leakage Tree Data'!Y56&lt;&gt;"",'[1]Leakage Tree Data'!Y56,"")</f>
        <v>0.0745456981033641</v>
      </c>
      <c s="72">
        <f>IF('[1]Leakage Tree Data'!Z56&lt;&gt;"",'[1]Leakage Tree Data'!Z56,"")</f>
        <v>-53874.5788574219</v>
      </c>
      <c s="72">
        <f>IF('[1]Leakage Tree Data'!AA56&lt;&gt;"",'[1]Leakage Tree Data'!AA56,"")</f>
      </c>
      <c s="72">
        <f>IF('[1]Leakage Tree Data'!AB56&lt;&gt;"",'[1]Leakage Tree Data'!AB56,"")</f>
        <v>158511.325061798</v>
      </c>
      <c s="72">
        <f>IF('[1]Leakage Tree Data'!AC56&lt;&gt;"",'[1]Leakage Tree Data'!AC56,"")</f>
      </c>
      <c s="72">
        <f>IF('[1]Leakage Tree Data'!AD56&lt;&gt;"",'[1]Leakage Tree Data'!AD56,"")</f>
        <v>-0.0108470267119571</v>
      </c>
      <c s="72">
        <f>IF('[1]Leakage Tree Data'!AE56&lt;&gt;"",'[1]Leakage Tree Data'!AE56,"")</f>
      </c>
      <c s="73">
        <f t="shared" si="49"/>
      </c>
      <c s="73">
        <f t="shared" si="50"/>
      </c>
      <c s="73">
        <f t="shared" si="51"/>
      </c>
      <c s="73">
        <f t="shared" si="52"/>
      </c>
      <c s="74">
        <f t="shared" si="53"/>
      </c>
      <c s="74">
        <f t="shared" si="54"/>
      </c>
      <c s="69" t="str">
        <f t="shared" si="0"/>
        <v>Total US - Hannaford</v>
      </c>
      <c s="69" t="str">
        <f t="shared" si="1"/>
        <v>Total US - GroceryX</v>
      </c>
      <c s="77"/>
    </row>
    <row r="158" spans="1:141" ht="15">
      <c r="A15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 t="shared" si="31"/>
      </c>
      <c s="76">
        <f t="shared" si="32"/>
      </c>
      <c s="75">
        <f t="shared" si="33"/>
        <v>3025774.49697876</v>
      </c>
      <c s="76">
        <f t="shared" si="34"/>
        <v>17</v>
      </c>
      <c s="75">
        <f t="shared" si="35"/>
      </c>
      <c s="76">
        <f t="shared" si="36"/>
      </c>
      <c s="75">
        <f t="shared" si="37"/>
      </c>
      <c s="76">
        <f t="shared" si="38"/>
      </c>
      <c s="75">
        <f t="shared" si="29"/>
      </c>
      <c s="76">
        <f t="shared" si="39"/>
      </c>
      <c s="75">
        <f t="shared" si="40"/>
      </c>
      <c s="76">
        <f t="shared" si="41"/>
      </c>
      <c s="75">
        <f t="shared" si="42"/>
        <v>9557434.60745239</v>
      </c>
      <c s="76">
        <f t="shared" si="43"/>
        <v>12</v>
      </c>
      <c s="75">
        <f t="shared" si="44"/>
      </c>
      <c s="76">
        <f t="shared" si="45"/>
      </c>
      <c s="75">
        <f t="shared" si="46"/>
      </c>
      <c s="76">
        <f t="shared" si="47"/>
      </c>
      <c s="75">
        <f t="shared" si="30"/>
      </c>
      <c s="76">
        <f t="shared" si="48"/>
      </c>
      <c s="65" t="str">
        <f t="shared" si="19"/>
        <v>Harris Teeter</v>
      </c>
      <c s="65" t="str">
        <f t="shared" si="20"/>
        <v>GroceryX</v>
      </c>
      <c s="72" t="str">
        <f>IF('[1]Leakage Tree Data'!A57&lt;&gt;"",'[1]Leakage Tree Data'!A57,"")</f>
        <v>Total US - Harris Teeter</v>
      </c>
      <c s="72" t="str">
        <f>IF('[1]Leakage Tree Data'!B57&lt;&gt;"",'[1]Leakage Tree Data'!B57,"")</f>
        <v>Total US - GroceryX</v>
      </c>
      <c s="72">
        <f>IF('[1]Leakage Tree Data'!C57&lt;&gt;"",'[1]Leakage Tree Data'!C57,"")</f>
        <v>121171760.292236</v>
      </c>
      <c s="72">
        <f>IF('[1]Leakage Tree Data'!D57&lt;&gt;"",'[1]Leakage Tree Data'!D57,"")</f>
        <v>3629198.23297119</v>
      </c>
      <c s="72">
        <f>IF('[1]Leakage Tree Data'!E57&lt;&gt;"",'[1]Leakage Tree Data'!E57,"")</f>
        <v>2.99508583866279</v>
      </c>
      <c s="72">
        <f>IF('[1]Leakage Tree Data'!F57&lt;&gt;"",'[1]Leakage Tree Data'!F57,"")</f>
        <v>117542562.059265</v>
      </c>
      <c s="72">
        <f>IF('[1]Leakage Tree Data'!G57&lt;&gt;"",'[1]Leakage Tree Data'!G57,"")</f>
        <v>97.0049141613372</v>
      </c>
      <c s="72">
        <f>IF('[1]Leakage Tree Data'!H57&lt;&gt;"",'[1]Leakage Tree Data'!H57,"")</f>
        <v>61518209.9918823</v>
      </c>
      <c s="72" t="str">
        <f>IF('[1]Leakage Tree Data'!I57&lt;&gt;"",'[1]Leakage Tree Data'!I57,"")</f>
        <v>GroceryX</v>
      </c>
      <c s="72">
        <f>IF('[1]Leakage Tree Data'!J57&lt;&gt;"",'[1]Leakage Tree Data'!J57,"")</f>
        <v>98.7143448407329</v>
      </c>
      <c s="72">
        <f>IF('[1]Leakage Tree Data'!K57&lt;&gt;"",'[1]Leakage Tree Data'!K57,"")</f>
        <v>790912.040649414</v>
      </c>
      <c s="72">
        <f>IF('[1]Leakage Tree Data'!L57&lt;&gt;"",'[1]Leakage Tree Data'!L57,"")</f>
        <v>3025774.49697876</v>
      </c>
      <c s="72">
        <f>IF('[1]Leakage Tree Data'!M57&lt;&gt;"",'[1]Leakage Tree Data'!M57,"")</f>
        <v>9557434.60745239</v>
      </c>
      <c s="72">
        <f>IF('[1]Leakage Tree Data'!N57&lt;&gt;"",'[1]Leakage Tree Data'!N57,"")</f>
        <v>3025774.49697876</v>
      </c>
      <c s="72">
        <f>IF('[1]Leakage Tree Data'!O57&lt;&gt;"",'[1]Leakage Tree Data'!O57,"")</f>
        <v>35.0812408589327</v>
      </c>
      <c s="72">
        <f>IF('[1]Leakage Tree Data'!P57&lt;&gt;"",'[1]Leakage Tree Data'!P57,"")</f>
        <v>906384.188359792</v>
      </c>
      <c s="72">
        <f>IF('[1]Leakage Tree Data'!Q57&lt;&gt;"",'[1]Leakage Tree Data'!Q57,"")</f>
      </c>
      <c s="72">
        <f>IF('[1]Leakage Tree Data'!R57&lt;&gt;"",'[1]Leakage Tree Data'!R57,"")</f>
        <v>1017625.85098267</v>
      </c>
      <c s="72">
        <f>IF('[1]Leakage Tree Data'!S57&lt;&gt;"",'[1]Leakage Tree Data'!S57,"")</f>
        <v>-33519.8814086914</v>
      </c>
      <c s="72">
        <f>IF('[1]Leakage Tree Data'!T57&lt;&gt;"",'[1]Leakage Tree Data'!T57,"")</f>
        <v>-0.0532637927605686</v>
      </c>
      <c s="72">
        <f>IF('[1]Leakage Tree Data'!U57&lt;&gt;"",'[1]Leakage Tree Data'!U57,"")</f>
        <v>1051145.73239136</v>
      </c>
      <c s="72">
        <f>IF('[1]Leakage Tree Data'!V57&lt;&gt;"",'[1]Leakage Tree Data'!V57,"")</f>
        <v>0.0532637927605748</v>
      </c>
      <c s="72">
        <f>IF('[1]Leakage Tree Data'!W57&lt;&gt;"",'[1]Leakage Tree Data'!W57,"")</f>
        <v>-1855949.2237854</v>
      </c>
      <c s="72">
        <f>IF('[1]Leakage Tree Data'!X57&lt;&gt;"",'[1]Leakage Tree Data'!X57,"")</f>
      </c>
      <c s="72">
        <f>IF('[1]Leakage Tree Data'!Y57&lt;&gt;"",'[1]Leakage Tree Data'!Y57,"")</f>
        <v>0.331817523034346</v>
      </c>
      <c s="72">
        <f>IF('[1]Leakage Tree Data'!Z57&lt;&gt;"",'[1]Leakage Tree Data'!Z57,"")</f>
        <v>-234147.672302246</v>
      </c>
      <c s="72">
        <f>IF('[1]Leakage Tree Data'!AA57&lt;&gt;"",'[1]Leakage Tree Data'!AA57,"")</f>
        <v>-2493205.2724762</v>
      </c>
      <c s="72">
        <f>IF('[1]Leakage Tree Data'!AB57&lt;&gt;"",'[1]Leakage Tree Data'!AB57,"")</f>
        <v>-4219328.19812965</v>
      </c>
      <c s="72">
        <f>IF('[1]Leakage Tree Data'!AC57&lt;&gt;"",'[1]Leakage Tree Data'!AC57,"")</f>
        <v>-2493205.2724762</v>
      </c>
      <c s="72">
        <f>IF('[1]Leakage Tree Data'!AD57&lt;&gt;"",'[1]Leakage Tree Data'!AD57,"")</f>
        <v>-6.14414928220185</v>
      </c>
      <c s="72">
        <f>IF('[1]Leakage Tree Data'!AE57&lt;&gt;"",'[1]Leakage Tree Data'!AE57,"")</f>
      </c>
      <c s="73">
        <f t="shared" si="49"/>
      </c>
      <c s="73">
        <f t="shared" si="50"/>
      </c>
      <c s="73">
        <f t="shared" si="51"/>
      </c>
      <c s="73">
        <f t="shared" si="52"/>
      </c>
      <c s="74">
        <f t="shared" si="53"/>
      </c>
      <c s="74">
        <f t="shared" si="54"/>
      </c>
      <c s="69" t="str">
        <f t="shared" si="0"/>
        <v>Total US - Harris Teeter</v>
      </c>
      <c s="69" t="str">
        <f t="shared" si="1"/>
        <v>Total US - GroceryX</v>
      </c>
      <c s="77"/>
    </row>
    <row r="159" spans="1:141" ht="15">
      <c r="A15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 t="shared" si="31"/>
      </c>
      <c s="76">
        <f t="shared" si="32"/>
      </c>
      <c s="75">
        <f t="shared" si="33"/>
        <v>2732599.72670937</v>
      </c>
      <c s="76">
        <f t="shared" si="34"/>
        <v>18</v>
      </c>
      <c s="75">
        <f t="shared" si="35"/>
      </c>
      <c s="76">
        <f t="shared" si="36"/>
      </c>
      <c s="75">
        <f t="shared" si="37"/>
      </c>
      <c s="76">
        <f t="shared" si="38"/>
      </c>
      <c s="75">
        <f t="shared" si="29"/>
      </c>
      <c s="76">
        <f t="shared" si="39"/>
      </c>
      <c s="75">
        <f t="shared" si="40"/>
      </c>
      <c s="76">
        <f t="shared" si="41"/>
      </c>
      <c s="75">
        <f t="shared" si="42"/>
        <v>7831112.85582352</v>
      </c>
      <c s="76">
        <f t="shared" si="43"/>
        <v>19</v>
      </c>
      <c s="75">
        <f t="shared" si="44"/>
      </c>
      <c s="76">
        <f t="shared" si="45"/>
      </c>
      <c s="75">
        <f t="shared" si="46"/>
      </c>
      <c s="76">
        <f t="shared" si="47"/>
      </c>
      <c s="75">
        <f t="shared" si="30"/>
      </c>
      <c s="76">
        <f t="shared" si="48"/>
      </c>
      <c s="65" t="str">
        <f t="shared" si="19"/>
        <v>Hy Vee</v>
      </c>
      <c s="65" t="str">
        <f t="shared" si="20"/>
        <v>GroceryX</v>
      </c>
      <c s="72" t="str">
        <f>IF('[1]Leakage Tree Data'!A58&lt;&gt;"",'[1]Leakage Tree Data'!A58,"")</f>
        <v>Total US - Hy Vee</v>
      </c>
      <c s="72" t="str">
        <f>IF('[1]Leakage Tree Data'!B58&lt;&gt;"",'[1]Leakage Tree Data'!B58,"")</f>
        <v>Total US - GroceryX</v>
      </c>
      <c s="72">
        <f>IF('[1]Leakage Tree Data'!C58&lt;&gt;"",'[1]Leakage Tree Data'!C58,"")</f>
        <v>121171760.292236</v>
      </c>
      <c s="72">
        <f>IF('[1]Leakage Tree Data'!D58&lt;&gt;"",'[1]Leakage Tree Data'!D58,"")</f>
        <v>4025455.64093018</v>
      </c>
      <c s="72">
        <f>IF('[1]Leakage Tree Data'!E58&lt;&gt;"",'[1]Leakage Tree Data'!E58,"")</f>
        <v>3.32210709097712</v>
      </c>
      <c s="72">
        <f>IF('[1]Leakage Tree Data'!F58&lt;&gt;"",'[1]Leakage Tree Data'!F58,"")</f>
        <v>117146304.651306</v>
      </c>
      <c s="72">
        <f>IF('[1]Leakage Tree Data'!G58&lt;&gt;"",'[1]Leakage Tree Data'!G58,"")</f>
        <v>96.6778929090229</v>
      </c>
      <c s="72">
        <f>IF('[1]Leakage Tree Data'!H58&lt;&gt;"",'[1]Leakage Tree Data'!H58,"")</f>
        <v>61518209.9918823</v>
      </c>
      <c s="72" t="str">
        <f>IF('[1]Leakage Tree Data'!I58&lt;&gt;"",'[1]Leakage Tree Data'!I58,"")</f>
        <v>GroceryX</v>
      </c>
      <c s="72">
        <f>IF('[1]Leakage Tree Data'!J58&lt;&gt;"",'[1]Leakage Tree Data'!J58,"")</f>
        <v>98.8007380619261</v>
      </c>
      <c s="72">
        <f>IF('[1]Leakage Tree Data'!K58&lt;&gt;"",'[1]Leakage Tree Data'!K58,"")</f>
        <v>737764.477416992</v>
      </c>
      <c s="72">
        <f>IF('[1]Leakage Tree Data'!L58&lt;&gt;"",'[1]Leakage Tree Data'!L58,"")</f>
        <v>2732599.72670937</v>
      </c>
      <c s="72">
        <f>IF('[1]Leakage Tree Data'!M58&lt;&gt;"",'[1]Leakage Tree Data'!M58,"")</f>
        <v>7831112.85582352</v>
      </c>
      <c s="72">
        <f>IF('[1]Leakage Tree Data'!N58&lt;&gt;"",'[1]Leakage Tree Data'!N58,"")</f>
        <v>2732599.72670937</v>
      </c>
      <c s="72">
        <f>IF('[1]Leakage Tree Data'!O58&lt;&gt;"",'[1]Leakage Tree Data'!O58,"")</f>
        <v>34.1786277042415</v>
      </c>
      <c s="72">
        <f>IF('[1]Leakage Tree Data'!P58&lt;&gt;"",'[1]Leakage Tree Data'!P58,"")</f>
        <v>745088.180940713</v>
      </c>
      <c s="72">
        <f>IF('[1]Leakage Tree Data'!Q58&lt;&gt;"",'[1]Leakage Tree Data'!Q58,"")</f>
      </c>
      <c s="72">
        <f>IF('[1]Leakage Tree Data'!R58&lt;&gt;"",'[1]Leakage Tree Data'!R58,"")</f>
        <v>1017625.85098267</v>
      </c>
      <c s="72">
        <f>IF('[1]Leakage Tree Data'!S58&lt;&gt;"",'[1]Leakage Tree Data'!S58,"")</f>
        <v>99814.1549987793</v>
      </c>
      <c s="72">
        <f>IF('[1]Leakage Tree Data'!T58&lt;&gt;"",'[1]Leakage Tree Data'!T58,"")</f>
        <v>0.0549357163202235</v>
      </c>
      <c s="72">
        <f>IF('[1]Leakage Tree Data'!U58&lt;&gt;"",'[1]Leakage Tree Data'!U58,"")</f>
        <v>917811.695983887</v>
      </c>
      <c s="72">
        <f>IF('[1]Leakage Tree Data'!V58&lt;&gt;"",'[1]Leakage Tree Data'!V58,"")</f>
        <v>-0.054935716320216</v>
      </c>
      <c s="72">
        <f>IF('[1]Leakage Tree Data'!W58&lt;&gt;"",'[1]Leakage Tree Data'!W58,"")</f>
        <v>-1855949.2237854</v>
      </c>
      <c s="72">
        <f>IF('[1]Leakage Tree Data'!X58&lt;&gt;"",'[1]Leakage Tree Data'!X58,"")</f>
      </c>
      <c s="72">
        <f>IF('[1]Leakage Tree Data'!Y58&lt;&gt;"",'[1]Leakage Tree Data'!Y58,"")</f>
        <v>0.198036092336295</v>
      </c>
      <c s="72">
        <f>IF('[1]Leakage Tree Data'!Z58&lt;&gt;"",'[1]Leakage Tree Data'!Z58,"")</f>
        <v>-147761.401092529</v>
      </c>
      <c s="72">
        <f>IF('[1]Leakage Tree Data'!AA58&lt;&gt;"",'[1]Leakage Tree Data'!AA58,"")</f>
        <v>-1122718.6492672</v>
      </c>
      <c s="72">
        <f>IF('[1]Leakage Tree Data'!AB58&lt;&gt;"",'[1]Leakage Tree Data'!AB58,"")</f>
        <v>-2957644.71671677</v>
      </c>
      <c s="72">
        <f>IF('[1]Leakage Tree Data'!AC58&lt;&gt;"",'[1]Leakage Tree Data'!AC58,"")</f>
        <v>-1122718.6492672</v>
      </c>
      <c s="72">
        <f>IF('[1]Leakage Tree Data'!AD58&lt;&gt;"",'[1]Leakage Tree Data'!AD58,"")</f>
        <v>-4.15804944131837</v>
      </c>
      <c s="72">
        <f>IF('[1]Leakage Tree Data'!AE58&lt;&gt;"",'[1]Leakage Tree Data'!AE58,"")</f>
      </c>
      <c s="73">
        <f t="shared" si="49"/>
      </c>
      <c s="73">
        <f t="shared" si="50"/>
      </c>
      <c s="73">
        <f t="shared" si="51"/>
      </c>
      <c s="73">
        <f t="shared" si="52"/>
      </c>
      <c s="74">
        <f t="shared" si="53"/>
      </c>
      <c s="74">
        <f t="shared" si="54"/>
      </c>
      <c s="69" t="str">
        <f t="shared" si="0"/>
        <v>Total US - Hy Vee</v>
      </c>
      <c s="69" t="str">
        <f t="shared" si="1"/>
        <v>Total US - GroceryX</v>
      </c>
      <c s="77"/>
    </row>
    <row r="160" spans="1:141" ht="15">
      <c r="A16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 t="shared" si="31"/>
      </c>
      <c s="76">
        <f t="shared" si="32"/>
      </c>
      <c s="75">
        <f t="shared" si="33"/>
      </c>
      <c s="76">
        <f t="shared" si="34"/>
      </c>
      <c s="75">
        <f t="shared" si="35"/>
      </c>
      <c s="76">
        <f t="shared" si="36"/>
      </c>
      <c s="75">
        <f t="shared" si="37"/>
      </c>
      <c s="76">
        <f t="shared" si="38"/>
      </c>
      <c s="75">
        <f t="shared" si="29"/>
      </c>
      <c s="76">
        <f t="shared" si="39"/>
      </c>
      <c s="75">
        <f t="shared" si="40"/>
      </c>
      <c s="76">
        <f t="shared" si="41"/>
      </c>
      <c s="75">
        <f t="shared" si="42"/>
        <v>1545643.74975586</v>
      </c>
      <c s="76">
        <f t="shared" si="43"/>
        <v>47</v>
      </c>
      <c s="75">
        <f t="shared" si="44"/>
      </c>
      <c s="76">
        <f t="shared" si="45"/>
      </c>
      <c s="75">
        <f t="shared" si="46"/>
      </c>
      <c s="76">
        <f t="shared" si="47"/>
      </c>
      <c s="75">
        <f t="shared" si="30"/>
      </c>
      <c s="76">
        <f t="shared" si="48"/>
      </c>
      <c s="65" t="str">
        <f t="shared" si="19"/>
        <v>IGA</v>
      </c>
      <c s="65" t="str">
        <f t="shared" si="20"/>
        <v>GroceryX</v>
      </c>
      <c s="72" t="str">
        <f>IF('[1]Leakage Tree Data'!A59&lt;&gt;"",'[1]Leakage Tree Data'!A59,"")</f>
        <v>Total US - IGA</v>
      </c>
      <c s="72" t="str">
        <f>IF('[1]Leakage Tree Data'!B59&lt;&gt;"",'[1]Leakage Tree Data'!B59,"")</f>
        <v>Total US - GroceryX</v>
      </c>
      <c s="72">
        <f>IF('[1]Leakage Tree Data'!C59&lt;&gt;"",'[1]Leakage Tree Data'!C59,"")</f>
        <v>121171760.292236</v>
      </c>
      <c s="72">
        <f>IF('[1]Leakage Tree Data'!D59&lt;&gt;"",'[1]Leakage Tree Data'!D59,"")</f>
        <v>3742891.87548828</v>
      </c>
      <c s="72">
        <f>IF('[1]Leakage Tree Data'!E59&lt;&gt;"",'[1]Leakage Tree Data'!E59,"")</f>
        <v>3.08891433652639</v>
      </c>
      <c s="72">
        <f>IF('[1]Leakage Tree Data'!F59&lt;&gt;"",'[1]Leakage Tree Data'!F59,"")</f>
        <v>117428868.416748</v>
      </c>
      <c s="72">
        <f>IF('[1]Leakage Tree Data'!G59&lt;&gt;"",'[1]Leakage Tree Data'!G59,"")</f>
        <v>96.9110856634736</v>
      </c>
      <c s="72">
        <f>IF('[1]Leakage Tree Data'!H59&lt;&gt;"",'[1]Leakage Tree Data'!H59,"")</f>
        <v>61518209.9918823</v>
      </c>
      <c s="72" t="str">
        <f>IF('[1]Leakage Tree Data'!I59&lt;&gt;"",'[1]Leakage Tree Data'!I59,"")</f>
        <v>GroceryX</v>
      </c>
      <c s="72">
        <f>IF('[1]Leakage Tree Data'!J59&lt;&gt;"",'[1]Leakage Tree Data'!J59,"")</f>
        <v>99.7857376541342</v>
      </c>
      <c s="72">
        <f>IF('[1]Leakage Tree Data'!K59&lt;&gt;"",'[1]Leakage Tree Data'!K59,"")</f>
        <v>131810.359863281</v>
      </c>
      <c s="72">
        <f>IF('[1]Leakage Tree Data'!L59&lt;&gt;"",'[1]Leakage Tree Data'!L59,"")</f>
      </c>
      <c s="72">
        <f>IF('[1]Leakage Tree Data'!M59&lt;&gt;"",'[1]Leakage Tree Data'!M59,"")</f>
        <v>1545643.74975586</v>
      </c>
      <c s="72">
        <f>IF('[1]Leakage Tree Data'!N59&lt;&gt;"",'[1]Leakage Tree Data'!N59,"")</f>
      </c>
      <c s="72">
        <f>IF('[1]Leakage Tree Data'!O59&lt;&gt;"",'[1]Leakage Tree Data'!O59,"")</f>
        <v>15.1571181912986</v>
      </c>
      <c s="72">
        <f>IF('[1]Leakage Tree Data'!P59&lt;&gt;"",'[1]Leakage Tree Data'!P59,"")</f>
        <v>377000.322038612</v>
      </c>
      <c s="72">
        <f>IF('[1]Leakage Tree Data'!Q59&lt;&gt;"",'[1]Leakage Tree Data'!Q59,"")</f>
      </c>
      <c s="72">
        <f>IF('[1]Leakage Tree Data'!R59&lt;&gt;"",'[1]Leakage Tree Data'!R59,"")</f>
        <v>1017625.85098267</v>
      </c>
      <c s="72">
        <f>IF('[1]Leakage Tree Data'!S59&lt;&gt;"",'[1]Leakage Tree Data'!S59,"")</f>
        <v>-198431.645935059</v>
      </c>
      <c s="72">
        <f>IF('[1]Leakage Tree Data'!T59&lt;&gt;"",'[1]Leakage Tree Data'!T59,"")</f>
        <v>-0.191308636866464</v>
      </c>
      <c s="72">
        <f>IF('[1]Leakage Tree Data'!U59&lt;&gt;"",'[1]Leakage Tree Data'!U59,"")</f>
        <v>1216057.49691772</v>
      </c>
      <c s="72">
        <f>IF('[1]Leakage Tree Data'!V59&lt;&gt;"",'[1]Leakage Tree Data'!V59,"")</f>
        <v>0.191308636866466</v>
      </c>
      <c s="72">
        <f>IF('[1]Leakage Tree Data'!W59&lt;&gt;"",'[1]Leakage Tree Data'!W59,"")</f>
        <v>-1855949.2237854</v>
      </c>
      <c s="72">
        <f>IF('[1]Leakage Tree Data'!X59&lt;&gt;"",'[1]Leakage Tree Data'!X59,"")</f>
      </c>
      <c s="72">
        <f>IF('[1]Leakage Tree Data'!Y59&lt;&gt;"",'[1]Leakage Tree Data'!Y59,"")</f>
        <v>0.0277569425100239</v>
      </c>
      <c s="72">
        <f>IF('[1]Leakage Tree Data'!Z59&lt;&gt;"",'[1]Leakage Tree Data'!Z59,"")</f>
        <v>-21567.329284668</v>
      </c>
      <c s="72">
        <f>IF('[1]Leakage Tree Data'!AA59&lt;&gt;"",'[1]Leakage Tree Data'!AA59,"")</f>
      </c>
      <c s="72">
        <f>IF('[1]Leakage Tree Data'!AB59&lt;&gt;"",'[1]Leakage Tree Data'!AB59,"")</f>
        <v>174176.504585266</v>
      </c>
      <c s="72">
        <f>IF('[1]Leakage Tree Data'!AC59&lt;&gt;"",'[1]Leakage Tree Data'!AC59,"")</f>
      </c>
      <c s="72">
        <f>IF('[1]Leakage Tree Data'!AD59&lt;&gt;"",'[1]Leakage Tree Data'!AD59,"")</f>
        <v>2.41589858130165</v>
      </c>
      <c s="72">
        <f>IF('[1]Leakage Tree Data'!AE59&lt;&gt;"",'[1]Leakage Tree Data'!AE59,"")</f>
      </c>
      <c s="73">
        <f t="shared" si="49"/>
      </c>
      <c s="73">
        <f t="shared" si="50"/>
      </c>
      <c s="73">
        <f t="shared" si="51"/>
      </c>
      <c s="73">
        <f t="shared" si="52"/>
      </c>
      <c s="74">
        <f t="shared" si="53"/>
      </c>
      <c s="74">
        <f t="shared" si="54"/>
      </c>
      <c s="69" t="str">
        <f t="shared" si="0"/>
        <v>Total US - IGA</v>
      </c>
      <c s="69" t="str">
        <f t="shared" si="1"/>
        <v>Total US - GroceryX</v>
      </c>
      <c s="77"/>
    </row>
    <row r="161" spans="1:141" ht="15">
      <c r="A16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 t="shared" si="31"/>
      </c>
      <c s="76">
        <f t="shared" si="32"/>
      </c>
      <c s="75">
        <f t="shared" si="33"/>
      </c>
      <c s="76">
        <f t="shared" si="34"/>
      </c>
      <c s="75">
        <f t="shared" si="35"/>
      </c>
      <c s="76">
        <f t="shared" si="36"/>
      </c>
      <c s="75">
        <f t="shared" si="37"/>
      </c>
      <c s="76">
        <f t="shared" si="38"/>
      </c>
      <c s="75">
        <f t="shared" si="29"/>
      </c>
      <c s="76">
        <f t="shared" si="39"/>
      </c>
      <c s="75">
        <f t="shared" si="40"/>
      </c>
      <c s="76">
        <f t="shared" si="41"/>
      </c>
      <c s="75">
        <f t="shared" si="42"/>
        <v>1722219.08666992</v>
      </c>
      <c s="76">
        <f t="shared" si="43"/>
        <v>45</v>
      </c>
      <c s="75">
        <f t="shared" si="44"/>
      </c>
      <c s="76">
        <f t="shared" si="45"/>
      </c>
      <c s="75">
        <f t="shared" si="46"/>
      </c>
      <c s="76">
        <f t="shared" si="47"/>
      </c>
      <c s="75">
        <f t="shared" si="30"/>
      </c>
      <c s="76">
        <f t="shared" si="48"/>
      </c>
      <c s="65" t="str">
        <f t="shared" si="19"/>
        <v>Ingles</v>
      </c>
      <c s="65" t="str">
        <f t="shared" si="20"/>
        <v>GroceryX</v>
      </c>
      <c s="72" t="str">
        <f>IF('[1]Leakage Tree Data'!A60&lt;&gt;"",'[1]Leakage Tree Data'!A60,"")</f>
        <v>Total US - Ingles</v>
      </c>
      <c s="72" t="str">
        <f>IF('[1]Leakage Tree Data'!B60&lt;&gt;"",'[1]Leakage Tree Data'!B60,"")</f>
        <v>Total US - GroceryX</v>
      </c>
      <c s="72">
        <f>IF('[1]Leakage Tree Data'!C60&lt;&gt;"",'[1]Leakage Tree Data'!C60,"")</f>
        <v>121171760.292236</v>
      </c>
      <c s="72">
        <f>IF('[1]Leakage Tree Data'!D60&lt;&gt;"",'[1]Leakage Tree Data'!D60,"")</f>
        <v>1800848.00463867</v>
      </c>
      <c s="72">
        <f>IF('[1]Leakage Tree Data'!E60&lt;&gt;"",'[1]Leakage Tree Data'!E60,"")</f>
        <v>1.48619447327948</v>
      </c>
      <c s="72">
        <f>IF('[1]Leakage Tree Data'!F60&lt;&gt;"",'[1]Leakage Tree Data'!F60,"")</f>
        <v>119370912.287598</v>
      </c>
      <c s="72">
        <f>IF('[1]Leakage Tree Data'!G60&lt;&gt;"",'[1]Leakage Tree Data'!G60,"")</f>
        <v>98.5138055267205</v>
      </c>
      <c s="72">
        <f>IF('[1]Leakage Tree Data'!H60&lt;&gt;"",'[1]Leakage Tree Data'!H60,"")</f>
        <v>61518209.9918823</v>
      </c>
      <c s="72" t="str">
        <f>IF('[1]Leakage Tree Data'!I60&lt;&gt;"",'[1]Leakage Tree Data'!I60,"")</f>
        <v>GroceryX</v>
      </c>
      <c s="72">
        <f>IF('[1]Leakage Tree Data'!J60&lt;&gt;"",'[1]Leakage Tree Data'!J60,"")</f>
        <v>99.7114125873131</v>
      </c>
      <c s="72">
        <f>IF('[1]Leakage Tree Data'!K60&lt;&gt;"",'[1]Leakage Tree Data'!K60,"")</f>
        <v>177533.810546875</v>
      </c>
      <c s="72">
        <f>IF('[1]Leakage Tree Data'!L60&lt;&gt;"",'[1]Leakage Tree Data'!L60,"")</f>
      </c>
      <c s="72">
        <f>IF('[1]Leakage Tree Data'!M60&lt;&gt;"",'[1]Leakage Tree Data'!M60,"")</f>
        <v>1722219.08666992</v>
      </c>
      <c s="72">
        <f>IF('[1]Leakage Tree Data'!N60&lt;&gt;"",'[1]Leakage Tree Data'!N60,"")</f>
      </c>
      <c s="72">
        <f>IF('[1]Leakage Tree Data'!O60&lt;&gt;"",'[1]Leakage Tree Data'!O60,"")</f>
        <v>26.2376176963178</v>
      </c>
      <c s="72">
        <f>IF('[1]Leakage Tree Data'!P60&lt;&gt;"",'[1]Leakage Tree Data'!P60,"")</f>
        <v>240553.279521168</v>
      </c>
      <c s="72">
        <f>IF('[1]Leakage Tree Data'!Q60&lt;&gt;"",'[1]Leakage Tree Data'!Q60,"")</f>
      </c>
      <c s="72">
        <f>IF('[1]Leakage Tree Data'!R60&lt;&gt;"",'[1]Leakage Tree Data'!R60,"")</f>
        <v>1017625.85098267</v>
      </c>
      <c s="72">
        <f>IF('[1]Leakage Tree Data'!S60&lt;&gt;"",'[1]Leakage Tree Data'!S60,"")</f>
        <v>-72288.3602294922</v>
      </c>
      <c s="72">
        <f>IF('[1]Leakage Tree Data'!T60&lt;&gt;"",'[1]Leakage Tree Data'!T60,"")</f>
        <v>-0.072750105347559</v>
      </c>
      <c s="72">
        <f>IF('[1]Leakage Tree Data'!U60&lt;&gt;"",'[1]Leakage Tree Data'!U60,"")</f>
        <v>1089914.21121216</v>
      </c>
      <c s="72">
        <f>IF('[1]Leakage Tree Data'!V60&lt;&gt;"",'[1]Leakage Tree Data'!V60,"")</f>
        <v>0.0727501053475521</v>
      </c>
      <c s="72">
        <f>IF('[1]Leakage Tree Data'!W60&lt;&gt;"",'[1]Leakage Tree Data'!W60,"")</f>
        <v>-1855949.2237854</v>
      </c>
      <c s="72">
        <f>IF('[1]Leakage Tree Data'!X60&lt;&gt;"",'[1]Leakage Tree Data'!X60,"")</f>
      </c>
      <c s="72">
        <f>IF('[1]Leakage Tree Data'!Y60&lt;&gt;"",'[1]Leakage Tree Data'!Y60,"")</f>
        <v>0.064924990888116</v>
      </c>
      <c s="72">
        <f>IF('[1]Leakage Tree Data'!Z60&lt;&gt;"",'[1]Leakage Tree Data'!Z60,"")</f>
        <v>-46501.7029418945</v>
      </c>
      <c s="72">
        <f>IF('[1]Leakage Tree Data'!AA60&lt;&gt;"",'[1]Leakage Tree Data'!AA60,"")</f>
      </c>
      <c s="72">
        <f>IF('[1]Leakage Tree Data'!AB60&lt;&gt;"",'[1]Leakage Tree Data'!AB60,"")</f>
        <v>-510002.31539917</v>
      </c>
      <c s="72">
        <f>IF('[1]Leakage Tree Data'!AC60&lt;&gt;"",'[1]Leakage Tree Data'!AC60,"")</f>
      </c>
      <c s="72">
        <f>IF('[1]Leakage Tree Data'!AD60&lt;&gt;"",'[1]Leakage Tree Data'!AD60,"")</f>
        <v>-2.75342419270258</v>
      </c>
      <c s="72">
        <f>IF('[1]Leakage Tree Data'!AE60&lt;&gt;"",'[1]Leakage Tree Data'!AE60,"")</f>
      </c>
      <c s="73">
        <f t="shared" si="49"/>
      </c>
      <c s="73">
        <f t="shared" si="50"/>
      </c>
      <c s="73">
        <f t="shared" si="51"/>
      </c>
      <c s="73">
        <f t="shared" si="52"/>
      </c>
      <c s="74">
        <f t="shared" si="53"/>
      </c>
      <c s="74">
        <f t="shared" si="54"/>
      </c>
      <c s="69" t="str">
        <f t="shared" si="0"/>
        <v>Total US - Ingles</v>
      </c>
      <c s="69" t="str">
        <f t="shared" si="1"/>
        <v>Total US - GroceryX</v>
      </c>
      <c s="77"/>
    </row>
    <row r="162" spans="1:141" ht="15">
      <c r="A16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 t="shared" si="31"/>
      </c>
      <c s="76">
        <f t="shared" si="32"/>
      </c>
      <c s="75">
        <f t="shared" si="33"/>
        <v>3738478.30619812</v>
      </c>
      <c s="76">
        <f t="shared" si="34"/>
        <v>12</v>
      </c>
      <c s="75">
        <f t="shared" si="35"/>
      </c>
      <c s="76">
        <f t="shared" si="36"/>
      </c>
      <c s="75">
        <f t="shared" si="37"/>
      </c>
      <c s="76">
        <f t="shared" si="38"/>
      </c>
      <c s="75">
        <f t="shared" si="29"/>
      </c>
      <c s="76">
        <f t="shared" si="39"/>
      </c>
      <c s="75">
        <f t="shared" si="40"/>
      </c>
      <c s="76">
        <f t="shared" si="41"/>
      </c>
      <c s="75">
        <f t="shared" si="42"/>
        <v>5374722.99682617</v>
      </c>
      <c s="76">
        <f t="shared" si="43"/>
        <v>29</v>
      </c>
      <c s="75">
        <f t="shared" si="44"/>
      </c>
      <c s="76">
        <f t="shared" si="45"/>
      </c>
      <c s="75">
        <f t="shared" si="46"/>
      </c>
      <c s="76">
        <f t="shared" si="47"/>
      </c>
      <c s="75">
        <f t="shared" si="30"/>
      </c>
      <c s="76">
        <f t="shared" si="48"/>
      </c>
      <c s="65" t="str">
        <f t="shared" si="19"/>
        <v>Jewel</v>
      </c>
      <c s="65" t="str">
        <f t="shared" si="20"/>
        <v>GroceryX</v>
      </c>
      <c s="72" t="str">
        <f>IF('[1]Leakage Tree Data'!A61&lt;&gt;"",'[1]Leakage Tree Data'!A61,"")</f>
        <v>Total US - Jewel</v>
      </c>
      <c s="72" t="str">
        <f>IF('[1]Leakage Tree Data'!B61&lt;&gt;"",'[1]Leakage Tree Data'!B61,"")</f>
        <v>Total US - GroceryX</v>
      </c>
      <c s="72">
        <f>IF('[1]Leakage Tree Data'!C61&lt;&gt;"",'[1]Leakage Tree Data'!C61,"")</f>
        <v>121171760.292236</v>
      </c>
      <c s="72">
        <f>IF('[1]Leakage Tree Data'!D61&lt;&gt;"",'[1]Leakage Tree Data'!D61,"")</f>
        <v>3058066.26049805</v>
      </c>
      <c s="72">
        <f>IF('[1]Leakage Tree Data'!E61&lt;&gt;"",'[1]Leakage Tree Data'!E61,"")</f>
        <v>2.52374501544151</v>
      </c>
      <c s="72">
        <f>IF('[1]Leakage Tree Data'!F61&lt;&gt;"",'[1]Leakage Tree Data'!F61,"")</f>
        <v>118113694.031738</v>
      </c>
      <c s="72">
        <f>IF('[1]Leakage Tree Data'!G61&lt;&gt;"",'[1]Leakage Tree Data'!G61,"")</f>
        <v>97.4762549845585</v>
      </c>
      <c s="72">
        <f>IF('[1]Leakage Tree Data'!H61&lt;&gt;"",'[1]Leakage Tree Data'!H61,"")</f>
        <v>61518209.9918823</v>
      </c>
      <c s="72" t="str">
        <f>IF('[1]Leakage Tree Data'!I61&lt;&gt;"",'[1]Leakage Tree Data'!I61,"")</f>
        <v>GroceryX</v>
      </c>
      <c s="72">
        <f>IF('[1]Leakage Tree Data'!J61&lt;&gt;"",'[1]Leakage Tree Data'!J61,"")</f>
        <v>98.9241067991514</v>
      </c>
      <c s="72">
        <f>IF('[1]Leakage Tree Data'!K61&lt;&gt;"",'[1]Leakage Tree Data'!K61,"")</f>
        <v>661870.238586426</v>
      </c>
      <c s="72">
        <f>IF('[1]Leakage Tree Data'!L61&lt;&gt;"",'[1]Leakage Tree Data'!L61,"")</f>
        <v>3738478.30619812</v>
      </c>
      <c s="72">
        <f>IF('[1]Leakage Tree Data'!M61&lt;&gt;"",'[1]Leakage Tree Data'!M61,"")</f>
        <v>5374722.99682617</v>
      </c>
      <c s="72">
        <f>IF('[1]Leakage Tree Data'!N61&lt;&gt;"",'[1]Leakage Tree Data'!N61,"")</f>
        <v>3738478.30619812</v>
      </c>
      <c s="72">
        <f>IF('[1]Leakage Tree Data'!O61&lt;&gt;"",'[1]Leakage Tree Data'!O61,"")</f>
        <v>31.8681595173164</v>
      </c>
      <c s="72">
        <f>IF('[1]Leakage Tree Data'!P61&lt;&gt;"",'[1]Leakage Tree Data'!P61,"")</f>
        <v>587621.90018539</v>
      </c>
      <c s="72">
        <f>IF('[1]Leakage Tree Data'!Q61&lt;&gt;"",'[1]Leakage Tree Data'!Q61,"")</f>
      </c>
      <c s="72">
        <f>IF('[1]Leakage Tree Data'!R61&lt;&gt;"",'[1]Leakage Tree Data'!R61,"")</f>
        <v>1017625.85098267</v>
      </c>
      <c s="72">
        <f>IF('[1]Leakage Tree Data'!S61&lt;&gt;"",'[1]Leakage Tree Data'!S61,"")</f>
        <v>-66055.815032959</v>
      </c>
      <c s="72">
        <f>IF('[1]Leakage Tree Data'!T61&lt;&gt;"",'[1]Leakage Tree Data'!T61,"")</f>
        <v>-0.0763503454538483</v>
      </c>
      <c s="72">
        <f>IF('[1]Leakage Tree Data'!U61&lt;&gt;"",'[1]Leakage Tree Data'!U61,"")</f>
        <v>1083681.66601563</v>
      </c>
      <c s="72">
        <f>IF('[1]Leakage Tree Data'!V61&lt;&gt;"",'[1]Leakage Tree Data'!V61,"")</f>
        <v>0.0763503454538466</v>
      </c>
      <c s="72">
        <f>IF('[1]Leakage Tree Data'!W61&lt;&gt;"",'[1]Leakage Tree Data'!W61,"")</f>
        <v>-1855949.2237854</v>
      </c>
      <c s="72">
        <f>IF('[1]Leakage Tree Data'!X61&lt;&gt;"",'[1]Leakage Tree Data'!X61,"")</f>
      </c>
      <c s="72">
        <f>IF('[1]Leakage Tree Data'!Y61&lt;&gt;"",'[1]Leakage Tree Data'!Y61,"")</f>
        <v>-0.118880025297187</v>
      </c>
      <c s="72">
        <f>IF('[1]Leakage Tree Data'!Z61&lt;&gt;"",'[1]Leakage Tree Data'!Z61,"")</f>
        <v>55371.1849975586</v>
      </c>
      <c s="72">
        <f>IF('[1]Leakage Tree Data'!AA61&lt;&gt;"",'[1]Leakage Tree Data'!AA61,"")</f>
        <v>692444.35824585</v>
      </c>
      <c s="72">
        <f>IF('[1]Leakage Tree Data'!AB61&lt;&gt;"",'[1]Leakage Tree Data'!AB61,"")</f>
        <v>991684.990919113</v>
      </c>
      <c s="72">
        <f>IF('[1]Leakage Tree Data'!AC61&lt;&gt;"",'[1]Leakage Tree Data'!AC61,"")</f>
        <v>692444.35824585</v>
      </c>
      <c s="72">
        <f>IF('[1]Leakage Tree Data'!AD61&lt;&gt;"",'[1]Leakage Tree Data'!AD61,"")</f>
        <v>2.89670873116464</v>
      </c>
      <c s="72">
        <f>IF('[1]Leakage Tree Data'!AE61&lt;&gt;"",'[1]Leakage Tree Data'!AE61,"")</f>
      </c>
      <c s="73">
        <f t="shared" si="49"/>
      </c>
      <c s="73">
        <f t="shared" si="50"/>
      </c>
      <c s="73">
        <f t="shared" si="51"/>
      </c>
      <c s="73">
        <f t="shared" si="52"/>
      </c>
      <c s="74">
        <f t="shared" si="53"/>
      </c>
      <c s="74">
        <f t="shared" si="54"/>
      </c>
      <c s="69" t="str">
        <f t="shared" si="0"/>
        <v>Total US - Jewel</v>
      </c>
      <c s="69" t="str">
        <f t="shared" si="1"/>
        <v>Total US - GroceryX</v>
      </c>
      <c s="77"/>
    </row>
    <row r="163" spans="1:141" ht="15">
      <c r="A16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 t="shared" si="31"/>
      </c>
      <c s="76">
        <f t="shared" si="32"/>
      </c>
      <c s="75">
        <f t="shared" si="33"/>
        <v>2070869.37606812</v>
      </c>
      <c s="76">
        <f t="shared" si="34"/>
        <v>22</v>
      </c>
      <c s="75">
        <f t="shared" si="35"/>
      </c>
      <c s="76">
        <f t="shared" si="36"/>
      </c>
      <c s="75">
        <f t="shared" si="37"/>
      </c>
      <c s="76">
        <f t="shared" si="38"/>
      </c>
      <c s="75">
        <f t="shared" si="29"/>
      </c>
      <c s="76">
        <f t="shared" si="39"/>
      </c>
      <c s="75">
        <f t="shared" si="40"/>
      </c>
      <c s="76">
        <f t="shared" si="41"/>
      </c>
      <c s="75">
        <f t="shared" si="42"/>
        <v>8609814.06231689</v>
      </c>
      <c s="76">
        <f t="shared" si="43"/>
        <v>15</v>
      </c>
      <c s="75">
        <f t="shared" si="44"/>
      </c>
      <c s="76">
        <f t="shared" si="45"/>
      </c>
      <c s="75">
        <f t="shared" si="46"/>
      </c>
      <c s="76">
        <f t="shared" si="47"/>
      </c>
      <c s="75">
        <f t="shared" si="30"/>
      </c>
      <c s="76">
        <f t="shared" si="48"/>
      </c>
      <c s="65" t="str">
        <f t="shared" si="19"/>
        <v>King Soopers</v>
      </c>
      <c s="65" t="str">
        <f t="shared" si="20"/>
        <v>GroceryX</v>
      </c>
      <c s="72" t="str">
        <f>IF('[1]Leakage Tree Data'!A62&lt;&gt;"",'[1]Leakage Tree Data'!A62,"")</f>
        <v>Total US - King Soopers</v>
      </c>
      <c s="72" t="str">
        <f>IF('[1]Leakage Tree Data'!B62&lt;&gt;"",'[1]Leakage Tree Data'!B62,"")</f>
        <v>Total US - GroceryX</v>
      </c>
      <c s="72">
        <f>IF('[1]Leakage Tree Data'!C62&lt;&gt;"",'[1]Leakage Tree Data'!C62,"")</f>
        <v>121171760.292236</v>
      </c>
      <c s="72">
        <f>IF('[1]Leakage Tree Data'!D62&lt;&gt;"",'[1]Leakage Tree Data'!D62,"")</f>
        <v>1794326.19552612</v>
      </c>
      <c s="72">
        <f>IF('[1]Leakage Tree Data'!E62&lt;&gt;"",'[1]Leakage Tree Data'!E62,"")</f>
        <v>1.48081218858144</v>
      </c>
      <c s="72">
        <f>IF('[1]Leakage Tree Data'!F62&lt;&gt;"",'[1]Leakage Tree Data'!F62,"")</f>
        <v>119377434.09671</v>
      </c>
      <c s="72">
        <f>IF('[1]Leakage Tree Data'!G62&lt;&gt;"",'[1]Leakage Tree Data'!G62,"")</f>
        <v>98.5191878114186</v>
      </c>
      <c s="72">
        <f>IF('[1]Leakage Tree Data'!H62&lt;&gt;"",'[1]Leakage Tree Data'!H62,"")</f>
        <v>61518209.9918823</v>
      </c>
      <c s="72" t="str">
        <f>IF('[1]Leakage Tree Data'!I62&lt;&gt;"",'[1]Leakage Tree Data'!I62,"")</f>
        <v>GroceryX</v>
      </c>
      <c s="72">
        <f>IF('[1]Leakage Tree Data'!J62&lt;&gt;"",'[1]Leakage Tree Data'!J62,"")</f>
        <v>99.0207312890277</v>
      </c>
      <c s="72">
        <f>IF('[1]Leakage Tree Data'!K62&lt;&gt;"",'[1]Leakage Tree Data'!K62,"")</f>
        <v>602428.582000732</v>
      </c>
      <c s="72">
        <f>IF('[1]Leakage Tree Data'!L62&lt;&gt;"",'[1]Leakage Tree Data'!L62,"")</f>
        <v>2070869.37606812</v>
      </c>
      <c s="72">
        <f>IF('[1]Leakage Tree Data'!M62&lt;&gt;"",'[1]Leakage Tree Data'!M62,"")</f>
        <v>8609814.06231689</v>
      </c>
      <c s="72">
        <f>IF('[1]Leakage Tree Data'!N62&lt;&gt;"",'[1]Leakage Tree Data'!N62,"")</f>
        <v>2070869.37606812</v>
      </c>
      <c s="72">
        <f>IF('[1]Leakage Tree Data'!O62&lt;&gt;"",'[1]Leakage Tree Data'!O62,"")</f>
        <v>52.0372609580835</v>
      </c>
      <c s="72">
        <f>IF('[1]Leakage Tree Data'!P62&lt;&gt;"",'[1]Leakage Tree Data'!P62,"")</f>
        <v>457219.347561464</v>
      </c>
      <c s="72">
        <f>IF('[1]Leakage Tree Data'!Q62&lt;&gt;"",'[1]Leakage Tree Data'!Q62,"")</f>
      </c>
      <c s="72">
        <f>IF('[1]Leakage Tree Data'!R62&lt;&gt;"",'[1]Leakage Tree Data'!R62,"")</f>
        <v>1017625.85098267</v>
      </c>
      <c s="72">
        <f>IF('[1]Leakage Tree Data'!S62&lt;&gt;"",'[1]Leakage Tree Data'!S62,"")</f>
        <v>21374.9187316895</v>
      </c>
      <c s="72">
        <f>IF('[1]Leakage Tree Data'!T62&lt;&gt;"",'[1]Leakage Tree Data'!T62,"")</f>
        <v>0.00524808499142049</v>
      </c>
      <c s="72">
        <f>IF('[1]Leakage Tree Data'!U62&lt;&gt;"",'[1]Leakage Tree Data'!U62,"")</f>
        <v>996250.932250977</v>
      </c>
      <c s="72">
        <f>IF('[1]Leakage Tree Data'!V62&lt;&gt;"",'[1]Leakage Tree Data'!V62,"")</f>
        <v>-0.00524808499142182</v>
      </c>
      <c s="72">
        <f>IF('[1]Leakage Tree Data'!W62&lt;&gt;"",'[1]Leakage Tree Data'!W62,"")</f>
        <v>-1855949.2237854</v>
      </c>
      <c s="72">
        <f>IF('[1]Leakage Tree Data'!X62&lt;&gt;"",'[1]Leakage Tree Data'!X62,"")</f>
      </c>
      <c s="72">
        <f>IF('[1]Leakage Tree Data'!Y62&lt;&gt;"",'[1]Leakage Tree Data'!Y62,"")</f>
        <v>-0.0137849198530802</v>
      </c>
      <c s="72">
        <f>IF('[1]Leakage Tree Data'!Z62&lt;&gt;"",'[1]Leakage Tree Data'!Z62,"")</f>
        <v>-9438.65298461914</v>
      </c>
      <c s="72">
        <f>IF('[1]Leakage Tree Data'!AA62&lt;&gt;"",'[1]Leakage Tree Data'!AA62,"")</f>
        <v>-18379.921661377</v>
      </c>
      <c s="72">
        <f>IF('[1]Leakage Tree Data'!AB62&lt;&gt;"",'[1]Leakage Tree Data'!AB62,"")</f>
        <v>-977767.257957459</v>
      </c>
      <c s="72">
        <f>IF('[1]Leakage Tree Data'!AC62&lt;&gt;"",'[1]Leakage Tree Data'!AC62,"")</f>
        <v>-18379.921661377</v>
      </c>
      <c s="72">
        <f>IF('[1]Leakage Tree Data'!AD62&lt;&gt;"",'[1]Leakage Tree Data'!AD62,"")</f>
        <v>1.44171553125543</v>
      </c>
      <c s="72">
        <f>IF('[1]Leakage Tree Data'!AE62&lt;&gt;"",'[1]Leakage Tree Data'!AE62,"")</f>
      </c>
      <c s="73">
        <f t="shared" si="49"/>
      </c>
      <c s="73">
        <f t="shared" si="50"/>
      </c>
      <c s="73">
        <f t="shared" si="51"/>
      </c>
      <c s="73">
        <f t="shared" si="52"/>
      </c>
      <c s="74">
        <f t="shared" si="53"/>
      </c>
      <c s="74">
        <f t="shared" si="54"/>
      </c>
      <c s="69" t="str">
        <f t="shared" si="0"/>
        <v>Total US - King Soopers</v>
      </c>
      <c s="69" t="str">
        <f t="shared" si="1"/>
        <v>Total US - GroceryX</v>
      </c>
      <c s="77"/>
    </row>
    <row r="164" spans="1:141" ht="15">
      <c r="A16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 t="shared" si="31"/>
      </c>
      <c s="76">
        <f t="shared" si="32"/>
      </c>
      <c s="75">
        <f t="shared" si="33"/>
        <v>22926351.3529587</v>
      </c>
      <c s="76">
        <f t="shared" si="34"/>
        <v>1</v>
      </c>
      <c s="75">
        <f t="shared" si="35"/>
      </c>
      <c s="76">
        <f t="shared" si="36"/>
      </c>
      <c s="75">
        <f t="shared" si="37"/>
      </c>
      <c s="76">
        <f t="shared" si="38"/>
      </c>
      <c s="75">
        <f t="shared" si="29"/>
      </c>
      <c s="76">
        <f t="shared" si="39"/>
      </c>
      <c s="75">
        <f t="shared" si="40"/>
      </c>
      <c s="76">
        <f t="shared" si="41"/>
      </c>
      <c s="75">
        <f t="shared" si="42"/>
        <v>83222188.1612549</v>
      </c>
      <c s="76">
        <f t="shared" si="43"/>
        <v>1</v>
      </c>
      <c s="75">
        <f t="shared" si="44"/>
      </c>
      <c s="76">
        <f t="shared" si="45"/>
      </c>
      <c s="75">
        <f t="shared" si="46"/>
      </c>
      <c s="76">
        <f t="shared" si="47"/>
      </c>
      <c s="75">
        <f t="shared" si="30"/>
      </c>
      <c s="76">
        <f t="shared" si="48"/>
      </c>
      <c s="65" t="str">
        <f t="shared" si="19"/>
        <v>Kroger</v>
      </c>
      <c s="65" t="str">
        <f t="shared" si="20"/>
        <v>GroceryX</v>
      </c>
      <c s="72" t="str">
        <f>IF('[1]Leakage Tree Data'!A63&lt;&gt;"",'[1]Leakage Tree Data'!A63,"")</f>
        <v>Total US - Kroger</v>
      </c>
      <c s="72" t="str">
        <f>IF('[1]Leakage Tree Data'!B63&lt;&gt;"",'[1]Leakage Tree Data'!B63,"")</f>
        <v>Total US - GroceryX</v>
      </c>
      <c s="72">
        <f>IF('[1]Leakage Tree Data'!C63&lt;&gt;"",'[1]Leakage Tree Data'!C63,"")</f>
        <v>121171760.292236</v>
      </c>
      <c s="72">
        <f>IF('[1]Leakage Tree Data'!D63&lt;&gt;"",'[1]Leakage Tree Data'!D63,"")</f>
        <v>22081055.505249</v>
      </c>
      <c s="72">
        <f>IF('[1]Leakage Tree Data'!E63&lt;&gt;"",'[1]Leakage Tree Data'!E63,"")</f>
        <v>18.2229386219982</v>
      </c>
      <c s="72">
        <f>IF('[1]Leakage Tree Data'!F63&lt;&gt;"",'[1]Leakage Tree Data'!F63,"")</f>
        <v>99090704.7869873</v>
      </c>
      <c s="72">
        <f>IF('[1]Leakage Tree Data'!G63&lt;&gt;"",'[1]Leakage Tree Data'!G63,"")</f>
        <v>81.7770613780018</v>
      </c>
      <c s="72">
        <f>IF('[1]Leakage Tree Data'!H63&lt;&gt;"",'[1]Leakage Tree Data'!H63,"")</f>
        <v>61518209.9918823</v>
      </c>
      <c s="72" t="str">
        <f>IF('[1]Leakage Tree Data'!I63&lt;&gt;"",'[1]Leakage Tree Data'!I63,"")</f>
        <v>GroceryX</v>
      </c>
      <c s="72">
        <f>IF('[1]Leakage Tree Data'!J63&lt;&gt;"",'[1]Leakage Tree Data'!J63,"")</f>
        <v>91.4510599369204</v>
      </c>
      <c s="72">
        <f>IF('[1]Leakage Tree Data'!K63&lt;&gt;"",'[1]Leakage Tree Data'!K63,"")</f>
        <v>5259154.90008545</v>
      </c>
      <c s="72">
        <f>IF('[1]Leakage Tree Data'!L63&lt;&gt;"",'[1]Leakage Tree Data'!L63,"")</f>
        <v>22926351.3529587</v>
      </c>
      <c s="72">
        <f>IF('[1]Leakage Tree Data'!M63&lt;&gt;"",'[1]Leakage Tree Data'!M63,"")</f>
        <v>83222188.1612549</v>
      </c>
      <c s="72">
        <f>IF('[1]Leakage Tree Data'!N63&lt;&gt;"",'[1]Leakage Tree Data'!N63,"")</f>
        <v>22926351.3529587</v>
      </c>
      <c s="72">
        <f>IF('[1]Leakage Tree Data'!O63&lt;&gt;"",'[1]Leakage Tree Data'!O63,"")</f>
        <v>48.6957007285124</v>
      </c>
      <c s="72">
        <f>IF('[1]Leakage Tree Data'!P63&lt;&gt;"",'[1]Leakage Tree Data'!P63,"")</f>
        <v>5872151.84951508</v>
      </c>
      <c s="72">
        <f>IF('[1]Leakage Tree Data'!Q63&lt;&gt;"",'[1]Leakage Tree Data'!Q63,"")</f>
      </c>
      <c s="72">
        <f>IF('[1]Leakage Tree Data'!R63&lt;&gt;"",'[1]Leakage Tree Data'!R63,"")</f>
        <v>1017625.85098267</v>
      </c>
      <c s="72">
        <f>IF('[1]Leakage Tree Data'!S63&lt;&gt;"",'[1]Leakage Tree Data'!S63,"")</f>
        <v>276035.086456299</v>
      </c>
      <c s="72">
        <f>IF('[1]Leakage Tree Data'!T63&lt;&gt;"",'[1]Leakage Tree Data'!T63,"")</f>
        <v>0.0753979483531033</v>
      </c>
      <c s="72">
        <f>IF('[1]Leakage Tree Data'!U63&lt;&gt;"",'[1]Leakage Tree Data'!U63,"")</f>
        <v>741590.764526367</v>
      </c>
      <c s="72">
        <f>IF('[1]Leakage Tree Data'!V63&lt;&gt;"",'[1]Leakage Tree Data'!V63,"")</f>
        <v>-0.075397948353114</v>
      </c>
      <c s="72">
        <f>IF('[1]Leakage Tree Data'!W63&lt;&gt;"",'[1]Leakage Tree Data'!W63,"")</f>
        <v>-1855949.2237854</v>
      </c>
      <c s="72">
        <f>IF('[1]Leakage Tree Data'!X63&lt;&gt;"",'[1]Leakage Tree Data'!X63,"")</f>
      </c>
      <c s="72">
        <f>IF('[1]Leakage Tree Data'!Y63&lt;&gt;"",'[1]Leakage Tree Data'!Y63,"")</f>
        <v>0.412823983990506</v>
      </c>
      <c s="72">
        <f>IF('[1]Leakage Tree Data'!Z63&lt;&gt;"",'[1]Leakage Tree Data'!Z63,"")</f>
        <v>-420287.715637207</v>
      </c>
      <c s="72">
        <f>IF('[1]Leakage Tree Data'!AA63&lt;&gt;"",'[1]Leakage Tree Data'!AA63,"")</f>
        <v>-1945623.10754395</v>
      </c>
      <c s="72">
        <f>IF('[1]Leakage Tree Data'!AB63&lt;&gt;"",'[1]Leakage Tree Data'!AB63,"")</f>
        <v>2201230.40841293</v>
      </c>
      <c s="72">
        <f>IF('[1]Leakage Tree Data'!AC63&lt;&gt;"",'[1]Leakage Tree Data'!AC63,"")</f>
        <v>-1945623.10754395</v>
      </c>
      <c s="72">
        <f>IF('[1]Leakage Tree Data'!AD63&lt;&gt;"",'[1]Leakage Tree Data'!AD63,"")</f>
        <v>0.156396007928372</v>
      </c>
      <c s="72">
        <f>IF('[1]Leakage Tree Data'!AE63&lt;&gt;"",'[1]Leakage Tree Data'!AE63,"")</f>
      </c>
      <c s="73">
        <f t="shared" si="49"/>
      </c>
      <c s="73">
        <f t="shared" si="50"/>
      </c>
      <c s="73">
        <f t="shared" si="51"/>
      </c>
      <c s="73">
        <f t="shared" si="52"/>
      </c>
      <c s="74">
        <f t="shared" si="53"/>
      </c>
      <c s="74">
        <f t="shared" si="54"/>
      </c>
      <c s="69" t="str">
        <f t="shared" si="0"/>
        <v>Total US - Kroger</v>
      </c>
      <c s="69" t="str">
        <f t="shared" si="1"/>
        <v>Total US - GroceryX</v>
      </c>
      <c s="77"/>
    </row>
    <row r="165" spans="1:141" ht="15">
      <c r="A16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 t="shared" si="31"/>
      </c>
      <c s="76">
        <f t="shared" si="32"/>
      </c>
      <c s="75">
        <f t="shared" si="33"/>
      </c>
      <c s="76">
        <f t="shared" si="34"/>
      </c>
      <c s="75">
        <f t="shared" si="35"/>
      </c>
      <c s="76">
        <f t="shared" si="36"/>
      </c>
      <c s="75">
        <f t="shared" si="37"/>
      </c>
      <c s="76">
        <f t="shared" si="38"/>
      </c>
      <c s="75">
        <f t="shared" si="29"/>
      </c>
      <c s="76">
        <f t="shared" si="39"/>
      </c>
      <c s="75">
        <f t="shared" si="40"/>
      </c>
      <c s="76">
        <f t="shared" si="41"/>
      </c>
      <c s="75">
        <f t="shared" si="42"/>
        <v>1091503.8414917</v>
      </c>
      <c s="76">
        <f t="shared" si="43"/>
        <v>51</v>
      </c>
      <c s="75">
        <f t="shared" si="44"/>
      </c>
      <c s="76">
        <f t="shared" si="45"/>
      </c>
      <c s="75">
        <f t="shared" si="46"/>
      </c>
      <c s="76">
        <f t="shared" si="47"/>
      </c>
      <c s="75">
        <f t="shared" si="30"/>
      </c>
      <c s="76">
        <f t="shared" si="48"/>
      </c>
      <c s="65" t="str">
        <f t="shared" si="19"/>
        <v>Lowes Foods</v>
      </c>
      <c s="65" t="str">
        <f t="shared" si="20"/>
        <v>GroceryX</v>
      </c>
      <c s="72" t="str">
        <f>IF('[1]Leakage Tree Data'!A64&lt;&gt;"",'[1]Leakage Tree Data'!A64,"")</f>
        <v>Total US - Lowes Foods</v>
      </c>
      <c s="72" t="str">
        <f>IF('[1]Leakage Tree Data'!B64&lt;&gt;"",'[1]Leakage Tree Data'!B64,"")</f>
        <v>Total US - GroceryX</v>
      </c>
      <c s="72">
        <f>IF('[1]Leakage Tree Data'!C64&lt;&gt;"",'[1]Leakage Tree Data'!C64,"")</f>
        <v>121171760.292236</v>
      </c>
      <c s="72">
        <f>IF('[1]Leakage Tree Data'!D64&lt;&gt;"",'[1]Leakage Tree Data'!D64,"")</f>
        <v>1150707.55633545</v>
      </c>
      <c s="72">
        <f>IF('[1]Leakage Tree Data'!E64&lt;&gt;"",'[1]Leakage Tree Data'!E64,"")</f>
        <v>0.949649946126249</v>
      </c>
      <c s="72">
        <f>IF('[1]Leakage Tree Data'!F64&lt;&gt;"",'[1]Leakage Tree Data'!F64,"")</f>
        <v>120021052.735901</v>
      </c>
      <c s="72">
        <f>IF('[1]Leakage Tree Data'!G64&lt;&gt;"",'[1]Leakage Tree Data'!G64,"")</f>
        <v>99.0503500538738</v>
      </c>
      <c s="72">
        <f>IF('[1]Leakage Tree Data'!H64&lt;&gt;"",'[1]Leakage Tree Data'!H64,"")</f>
        <v>61518209.9918823</v>
      </c>
      <c s="72" t="str">
        <f>IF('[1]Leakage Tree Data'!I64&lt;&gt;"",'[1]Leakage Tree Data'!I64,"")</f>
        <v>GroceryX</v>
      </c>
      <c s="72">
        <f>IF('[1]Leakage Tree Data'!J64&lt;&gt;"",'[1]Leakage Tree Data'!J64,"")</f>
        <v>99.7942504044275</v>
      </c>
      <c s="72">
        <f>IF('[1]Leakage Tree Data'!K64&lt;&gt;"",'[1]Leakage Tree Data'!K64,"")</f>
        <v>126573.468261719</v>
      </c>
      <c s="72">
        <f>IF('[1]Leakage Tree Data'!L64&lt;&gt;"",'[1]Leakage Tree Data'!L64,"")</f>
      </c>
      <c s="72">
        <f>IF('[1]Leakage Tree Data'!M64&lt;&gt;"",'[1]Leakage Tree Data'!M64,"")</f>
        <v>1091503.8414917</v>
      </c>
      <c s="72">
        <f>IF('[1]Leakage Tree Data'!N64&lt;&gt;"",'[1]Leakage Tree Data'!N64,"")</f>
      </c>
      <c s="72">
        <f>IF('[1]Leakage Tree Data'!O64&lt;&gt;"",'[1]Leakage Tree Data'!O64,"")</f>
        <v>18.1281962143621</v>
      </c>
      <c s="72">
        <f>IF('[1]Leakage Tree Data'!P64&lt;&gt;"",'[1]Leakage Tree Data'!P64,"")</f>
        <v>175502.491603972</v>
      </c>
      <c s="72">
        <f>IF('[1]Leakage Tree Data'!Q64&lt;&gt;"",'[1]Leakage Tree Data'!Q64,"")</f>
      </c>
      <c s="72">
        <f>IF('[1]Leakage Tree Data'!R64&lt;&gt;"",'[1]Leakage Tree Data'!R64,"")</f>
        <v>1017625.85098267</v>
      </c>
      <c s="72">
        <f>IF('[1]Leakage Tree Data'!S64&lt;&gt;"",'[1]Leakage Tree Data'!S64,"")</f>
        <v>-102782.184020996</v>
      </c>
      <c s="72">
        <f>IF('[1]Leakage Tree Data'!T64&lt;&gt;"",'[1]Leakage Tree Data'!T64,"")</f>
        <v>-0.0935848507332032</v>
      </c>
      <c s="72">
        <f>IF('[1]Leakage Tree Data'!U64&lt;&gt;"",'[1]Leakage Tree Data'!U64,"")</f>
        <v>1120408.03500366</v>
      </c>
      <c s="72">
        <f>IF('[1]Leakage Tree Data'!V64&lt;&gt;"",'[1]Leakage Tree Data'!V64,"")</f>
        <v>0.0935848507332082</v>
      </c>
      <c s="72">
        <f>IF('[1]Leakage Tree Data'!W64&lt;&gt;"",'[1]Leakage Tree Data'!W64,"")</f>
        <v>-1855949.2237854</v>
      </c>
      <c s="72">
        <f>IF('[1]Leakage Tree Data'!X64&lt;&gt;"",'[1]Leakage Tree Data'!X64,"")</f>
      </c>
      <c s="72">
        <f>IF('[1]Leakage Tree Data'!Y64&lt;&gt;"",'[1]Leakage Tree Data'!Y64,"")</f>
        <v>0.0900366407487496</v>
      </c>
      <c s="72">
        <f>IF('[1]Leakage Tree Data'!Z64&lt;&gt;"",'[1]Leakage Tree Data'!Z64,"")</f>
        <v>-60878.5720825195</v>
      </c>
      <c s="72">
        <f>IF('[1]Leakage Tree Data'!AA64&lt;&gt;"",'[1]Leakage Tree Data'!AA64,"")</f>
      </c>
      <c s="72">
        <f>IF('[1]Leakage Tree Data'!AB64&lt;&gt;"",'[1]Leakage Tree Data'!AB64,"")</f>
        <v>-618862.680862427</v>
      </c>
      <c s="72">
        <f>IF('[1]Leakage Tree Data'!AC64&lt;&gt;"",'[1]Leakage Tree Data'!AC64,"")</f>
      </c>
      <c s="72">
        <f>IF('[1]Leakage Tree Data'!AD64&lt;&gt;"",'[1]Leakage Tree Data'!AD64,"")</f>
        <v>-5.72768875969456</v>
      </c>
      <c s="72">
        <f>IF('[1]Leakage Tree Data'!AE64&lt;&gt;"",'[1]Leakage Tree Data'!AE64,"")</f>
      </c>
      <c s="73">
        <f t="shared" si="49"/>
      </c>
      <c s="73">
        <f t="shared" si="50"/>
      </c>
      <c s="73">
        <f t="shared" si="51"/>
      </c>
      <c s="73">
        <f t="shared" si="52"/>
      </c>
      <c s="74">
        <f t="shared" si="53"/>
      </c>
      <c s="74">
        <f t="shared" si="54"/>
      </c>
      <c s="69" t="str">
        <f t="shared" si="0"/>
        <v>Total US - Lowes Foods</v>
      </c>
      <c s="69" t="str">
        <f t="shared" si="1"/>
        <v>Total US - GroceryX</v>
      </c>
      <c s="77"/>
    </row>
    <row r="166" spans="1:141" ht="15">
      <c r="A16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 t="shared" si="31"/>
      </c>
      <c s="76">
        <f t="shared" si="32"/>
      </c>
      <c s="75">
        <f t="shared" si="33"/>
      </c>
      <c s="76">
        <f t="shared" si="34"/>
      </c>
      <c s="75">
        <f t="shared" si="35"/>
      </c>
      <c s="76">
        <f t="shared" si="36"/>
      </c>
      <c s="75">
        <f t="shared" si="37"/>
      </c>
      <c s="76">
        <f t="shared" si="38"/>
      </c>
      <c s="75">
        <f t="shared" si="29"/>
      </c>
      <c s="76">
        <f t="shared" si="39"/>
      </c>
      <c s="75">
        <f t="shared" si="40"/>
      </c>
      <c s="76">
        <f t="shared" si="41"/>
      </c>
      <c s="75">
        <f t="shared" si="42"/>
      </c>
      <c s="76">
        <f t="shared" si="43"/>
      </c>
      <c s="75">
        <f t="shared" si="44"/>
      </c>
      <c s="76">
        <f t="shared" si="45"/>
      </c>
      <c s="75">
        <f t="shared" si="46"/>
      </c>
      <c s="76">
        <f t="shared" si="47"/>
      </c>
      <c s="75">
        <f t="shared" si="30"/>
      </c>
      <c s="76">
        <f t="shared" si="48"/>
      </c>
      <c s="65" t="str">
        <f t="shared" si="19"/>
        <v>Lucky</v>
      </c>
      <c s="65" t="str">
        <f t="shared" si="20"/>
        <v>GroceryX</v>
      </c>
      <c s="72" t="str">
        <f>IF('[1]Leakage Tree Data'!A65&lt;&gt;"",'[1]Leakage Tree Data'!A65,"")</f>
        <v>Total US - Lucky</v>
      </c>
      <c s="72" t="str">
        <f>IF('[1]Leakage Tree Data'!B65&lt;&gt;"",'[1]Leakage Tree Data'!B65,"")</f>
        <v>Total US - GroceryX</v>
      </c>
      <c s="72">
        <f>IF('[1]Leakage Tree Data'!C65&lt;&gt;"",'[1]Leakage Tree Data'!C65,"")</f>
        <v>121171760.292236</v>
      </c>
      <c s="72">
        <f>IF('[1]Leakage Tree Data'!D65&lt;&gt;"",'[1]Leakage Tree Data'!D65,"")</f>
        <v>1319223.22045898</v>
      </c>
      <c s="72">
        <f>IF('[1]Leakage Tree Data'!E65&lt;&gt;"",'[1]Leakage Tree Data'!E65,"")</f>
        <v>1.08872167679775</v>
      </c>
      <c s="72">
        <f>IF('[1]Leakage Tree Data'!F65&lt;&gt;"",'[1]Leakage Tree Data'!F65,"")</f>
        <v>119852537.071777</v>
      </c>
      <c s="72">
        <f>IF('[1]Leakage Tree Data'!G65&lt;&gt;"",'[1]Leakage Tree Data'!G65,"")</f>
        <v>98.9112783232023</v>
      </c>
      <c s="72">
        <f>IF('[1]Leakage Tree Data'!H65&lt;&gt;"",'[1]Leakage Tree Data'!H65,"")</f>
        <v>61518209.9918823</v>
      </c>
      <c s="72" t="str">
        <f>IF('[1]Leakage Tree Data'!I65&lt;&gt;"",'[1]Leakage Tree Data'!I65,"")</f>
        <v>GroceryX</v>
      </c>
      <c s="72">
        <f>IF('[1]Leakage Tree Data'!J65&lt;&gt;"",'[1]Leakage Tree Data'!J65,"")</f>
        <v>99.8143289726607</v>
      </c>
      <c s="72">
        <f>IF('[1]Leakage Tree Data'!K65&lt;&gt;"",'[1]Leakage Tree Data'!K65,"")</f>
        <v>114221.492492676</v>
      </c>
      <c s="72">
        <f>IF('[1]Leakage Tree Data'!L65&lt;&gt;"",'[1]Leakage Tree Data'!L65,"")</f>
      </c>
      <c s="72">
        <f>IF('[1]Leakage Tree Data'!M65&lt;&gt;"",'[1]Leakage Tree Data'!M65,"")</f>
      </c>
      <c s="72">
        <f>IF('[1]Leakage Tree Data'!N65&lt;&gt;"",'[1]Leakage Tree Data'!N65,"")</f>
      </c>
      <c s="72">
        <f>IF('[1]Leakage Tree Data'!O65&lt;&gt;"",'[1]Leakage Tree Data'!O65,"")</f>
        <v>13.4489599404399</v>
      </c>
      <c s="72">
        <f>IF('[1]Leakage Tree Data'!P65&lt;&gt;"",'[1]Leakage Tree Data'!P65,"")</f>
        <v>182816.673843728</v>
      </c>
      <c s="72">
        <f>IF('[1]Leakage Tree Data'!Q65&lt;&gt;"",'[1]Leakage Tree Data'!Q65,"")</f>
      </c>
      <c s="72">
        <f>IF('[1]Leakage Tree Data'!R65&lt;&gt;"",'[1]Leakage Tree Data'!R65,"")</f>
        <v>1017625.85098267</v>
      </c>
      <c s="72">
        <f>IF('[1]Leakage Tree Data'!S65&lt;&gt;"",'[1]Leakage Tree Data'!S65,"")</f>
        <v>-67417.1033325195</v>
      </c>
      <c s="72">
        <f>IF('[1]Leakage Tree Data'!T65&lt;&gt;"",'[1]Leakage Tree Data'!T65,"")</f>
        <v>-0.0653296009545508</v>
      </c>
      <c s="72">
        <f>IF('[1]Leakage Tree Data'!U65&lt;&gt;"",'[1]Leakage Tree Data'!U65,"")</f>
        <v>1085042.95431519</v>
      </c>
      <c s="72">
        <f>IF('[1]Leakage Tree Data'!V65&lt;&gt;"",'[1]Leakage Tree Data'!V65,"")</f>
        <v>0.0653296009545556</v>
      </c>
      <c s="72">
        <f>IF('[1]Leakage Tree Data'!W65&lt;&gt;"",'[1]Leakage Tree Data'!W65,"")</f>
        <v>-1855949.2237854</v>
      </c>
      <c s="72">
        <f>IF('[1]Leakage Tree Data'!X65&lt;&gt;"",'[1]Leakage Tree Data'!X65,"")</f>
      </c>
      <c s="72">
        <f>IF('[1]Leakage Tree Data'!Y65&lt;&gt;"",'[1]Leakage Tree Data'!Y65,"")</f>
      </c>
      <c s="72">
        <f>IF('[1]Leakage Tree Data'!Z65&lt;&gt;"",'[1]Leakage Tree Data'!Z65,"")</f>
      </c>
      <c s="72">
        <f>IF('[1]Leakage Tree Data'!AA65&lt;&gt;"",'[1]Leakage Tree Data'!AA65,"")</f>
      </c>
      <c s="72">
        <f>IF('[1]Leakage Tree Data'!AB65&lt;&gt;"",'[1]Leakage Tree Data'!AB65,"")</f>
      </c>
      <c s="72">
        <f>IF('[1]Leakage Tree Data'!AC65&lt;&gt;"",'[1]Leakage Tree Data'!AC65,"")</f>
      </c>
      <c s="72">
        <f>IF('[1]Leakage Tree Data'!AD65&lt;&gt;"",'[1]Leakage Tree Data'!AD65,"")</f>
        <v>0.913176076547952</v>
      </c>
      <c s="72">
        <f>IF('[1]Leakage Tree Data'!AE65&lt;&gt;"",'[1]Leakage Tree Data'!AE65,"")</f>
      </c>
      <c s="73">
        <f t="shared" si="49"/>
      </c>
      <c s="73">
        <f t="shared" si="50"/>
      </c>
      <c s="73">
        <f t="shared" si="51"/>
      </c>
      <c s="73">
        <f t="shared" si="52"/>
      </c>
      <c s="74">
        <f t="shared" si="53"/>
      </c>
      <c s="74">
        <f t="shared" si="54"/>
      </c>
      <c s="69" t="str">
        <f t="shared" si="0"/>
        <v>Total US - Lucky</v>
      </c>
      <c s="69" t="str">
        <f t="shared" si="1"/>
        <v>Total US - GroceryX</v>
      </c>
      <c s="77"/>
    </row>
    <row r="167" spans="1:141" ht="15">
      <c r="A16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 t="shared" si="31"/>
      </c>
      <c s="76">
        <f t="shared" si="32"/>
      </c>
      <c s="75">
        <f t="shared" si="33"/>
        <v>1385682.6361084</v>
      </c>
      <c s="76">
        <f t="shared" si="34"/>
        <v>31</v>
      </c>
      <c s="75">
        <f t="shared" si="35"/>
      </c>
      <c s="76">
        <f t="shared" si="36"/>
      </c>
      <c s="75">
        <f t="shared" si="37"/>
      </c>
      <c s="76">
        <f t="shared" si="38"/>
      </c>
      <c s="75">
        <f t="shared" si="29"/>
      </c>
      <c s="76">
        <f t="shared" si="39"/>
      </c>
      <c s="75">
        <f t="shared" si="40"/>
      </c>
      <c s="76">
        <f t="shared" si="41"/>
      </c>
      <c s="75">
        <f t="shared" si="42"/>
        <v>6012985.16426086</v>
      </c>
      <c s="76">
        <f t="shared" si="43"/>
        <v>26</v>
      </c>
      <c s="75">
        <f t="shared" si="44"/>
      </c>
      <c s="76">
        <f t="shared" si="45"/>
      </c>
      <c s="75">
        <f t="shared" si="46"/>
      </c>
      <c s="76">
        <f t="shared" si="47"/>
      </c>
      <c s="75">
        <f t="shared" si="30"/>
      </c>
      <c s="76">
        <f t="shared" si="48"/>
      </c>
      <c s="65" t="str">
        <f t="shared" si="19"/>
        <v>Market Basket</v>
      </c>
      <c s="65" t="str">
        <f t="shared" si="20"/>
        <v>GroceryX</v>
      </c>
      <c s="72" t="str">
        <f>IF('[1]Leakage Tree Data'!A66&lt;&gt;"",'[1]Leakage Tree Data'!A66,"")</f>
        <v>Total US - Market Basket</v>
      </c>
      <c s="72" t="str">
        <f>IF('[1]Leakage Tree Data'!B66&lt;&gt;"",'[1]Leakage Tree Data'!B66,"")</f>
        <v>Total US - GroceryX</v>
      </c>
      <c s="72">
        <f>IF('[1]Leakage Tree Data'!C66&lt;&gt;"",'[1]Leakage Tree Data'!C66,"")</f>
        <v>121171760.292236</v>
      </c>
      <c s="72">
        <f>IF('[1]Leakage Tree Data'!D66&lt;&gt;"",'[1]Leakage Tree Data'!D66,"")</f>
        <v>2081802.48309326</v>
      </c>
      <c s="72">
        <f>IF('[1]Leakage Tree Data'!E66&lt;&gt;"",'[1]Leakage Tree Data'!E66,"")</f>
        <v>1.71805912373681</v>
      </c>
      <c s="72">
        <f>IF('[1]Leakage Tree Data'!F66&lt;&gt;"",'[1]Leakage Tree Data'!F66,"")</f>
        <v>119089957.809143</v>
      </c>
      <c s="72">
        <f>IF('[1]Leakage Tree Data'!G66&lt;&gt;"",'[1]Leakage Tree Data'!G66,"")</f>
        <v>98.2819408762632</v>
      </c>
      <c s="72">
        <f>IF('[1]Leakage Tree Data'!H66&lt;&gt;"",'[1]Leakage Tree Data'!H66,"")</f>
        <v>61518209.9918823</v>
      </c>
      <c s="72" t="str">
        <f>IF('[1]Leakage Tree Data'!I66&lt;&gt;"",'[1]Leakage Tree Data'!I66,"")</f>
        <v>GroceryX</v>
      </c>
      <c s="72">
        <f>IF('[1]Leakage Tree Data'!J66&lt;&gt;"",'[1]Leakage Tree Data'!J66,"")</f>
        <v>99.2256405835886</v>
      </c>
      <c s="72">
        <f>IF('[1]Leakage Tree Data'!K66&lt;&gt;"",'[1]Leakage Tree Data'!K66,"")</f>
        <v>476372.051879883</v>
      </c>
      <c s="72">
        <f>IF('[1]Leakage Tree Data'!L66&lt;&gt;"",'[1]Leakage Tree Data'!L66,"")</f>
        <v>1385682.6361084</v>
      </c>
      <c s="72">
        <f>IF('[1]Leakage Tree Data'!M66&lt;&gt;"",'[1]Leakage Tree Data'!M66,"")</f>
        <v>6012985.16426086</v>
      </c>
      <c s="72">
        <f>IF('[1]Leakage Tree Data'!N66&lt;&gt;"",'[1]Leakage Tree Data'!N66,"")</f>
        <v>1385682.6361084</v>
      </c>
      <c s="72">
        <f>IF('[1]Leakage Tree Data'!O66&lt;&gt;"",'[1]Leakage Tree Data'!O66,"")</f>
        <v>48.4304515905157</v>
      </c>
      <c s="72">
        <f>IF('[1]Leakage Tree Data'!P66&lt;&gt;"",'[1]Leakage Tree Data'!P66,"")</f>
        <v>370515.367628388</v>
      </c>
      <c s="72">
        <f>IF('[1]Leakage Tree Data'!Q66&lt;&gt;"",'[1]Leakage Tree Data'!Q66,"")</f>
      </c>
      <c s="72">
        <f>IF('[1]Leakage Tree Data'!R66&lt;&gt;"",'[1]Leakage Tree Data'!R66,"")</f>
        <v>1017625.85098267</v>
      </c>
      <c s="72">
        <f>IF('[1]Leakage Tree Data'!S66&lt;&gt;"",'[1]Leakage Tree Data'!S66,"")</f>
        <v>149725.236450195</v>
      </c>
      <c s="72">
        <f>IF('[1]Leakage Tree Data'!T66&lt;&gt;"",'[1]Leakage Tree Data'!T66,"")</f>
        <v>0.110060151726647</v>
      </c>
      <c s="72">
        <f>IF('[1]Leakage Tree Data'!U66&lt;&gt;"",'[1]Leakage Tree Data'!U66,"")</f>
        <v>867900.614532471</v>
      </c>
      <c s="72">
        <f>IF('[1]Leakage Tree Data'!V66&lt;&gt;"",'[1]Leakage Tree Data'!V66,"")</f>
        <v>-0.110060151726643</v>
      </c>
      <c s="72">
        <f>IF('[1]Leakage Tree Data'!W66&lt;&gt;"",'[1]Leakage Tree Data'!W66,"")</f>
        <v>-1855949.2237854</v>
      </c>
      <c s="72">
        <f>IF('[1]Leakage Tree Data'!X66&lt;&gt;"",'[1]Leakage Tree Data'!X66,"")</f>
      </c>
      <c s="72">
        <f>IF('[1]Leakage Tree Data'!Y66&lt;&gt;"",'[1]Leakage Tree Data'!Y66,"")</f>
        <v>-0.0770061784160703</v>
      </c>
      <c s="72">
        <f>IF('[1]Leakage Tree Data'!Z66&lt;&gt;"",'[1]Leakage Tree Data'!Z66,"")</f>
        <v>34430.3005371094</v>
      </c>
      <c s="72">
        <f>IF('[1]Leakage Tree Data'!AA66&lt;&gt;"",'[1]Leakage Tree Data'!AA66,"")</f>
        <v>354221.948272705</v>
      </c>
      <c s="72">
        <f>IF('[1]Leakage Tree Data'!AB66&lt;&gt;"",'[1]Leakage Tree Data'!AB66,"")</f>
        <v>654434.252029419</v>
      </c>
      <c s="72">
        <f>IF('[1]Leakage Tree Data'!AC66&lt;&gt;"",'[1]Leakage Tree Data'!AC66,"")</f>
        <v>354221.948272705</v>
      </c>
      <c s="72">
        <f>IF('[1]Leakage Tree Data'!AD66&lt;&gt;"",'[1]Leakage Tree Data'!AD66,"")</f>
        <v>1.88206585250754</v>
      </c>
      <c s="72">
        <f>IF('[1]Leakage Tree Data'!AE66&lt;&gt;"",'[1]Leakage Tree Data'!AE66,"")</f>
      </c>
      <c s="73">
        <f t="shared" si="49"/>
      </c>
      <c s="73">
        <f t="shared" si="50"/>
      </c>
      <c s="73">
        <f t="shared" si="51"/>
      </c>
      <c s="73">
        <f t="shared" si="52"/>
      </c>
      <c s="74">
        <f t="shared" si="53"/>
      </c>
      <c s="74">
        <f t="shared" si="54"/>
      </c>
      <c s="69" t="str">
        <f t="shared" si="0"/>
        <v>Total US - Market Basket</v>
      </c>
      <c s="69" t="str">
        <f t="shared" si="1"/>
        <v>Total US - GroceryX</v>
      </c>
      <c s="77"/>
    </row>
    <row r="168" spans="1:141" ht="15">
      <c r="A16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 t="shared" si="31"/>
      </c>
      <c s="76">
        <f t="shared" si="32"/>
      </c>
      <c s="75">
        <f t="shared" si="33"/>
        <v>7389159.6093235</v>
      </c>
      <c s="76">
        <f t="shared" si="34"/>
        <v>4</v>
      </c>
      <c s="75">
        <f t="shared" si="35"/>
      </c>
      <c s="76">
        <f t="shared" si="36"/>
      </c>
      <c s="75">
        <f t="shared" si="37"/>
      </c>
      <c s="76">
        <f t="shared" si="38"/>
      </c>
      <c s="75">
        <f t="shared" si="29"/>
      </c>
      <c s="76">
        <f t="shared" si="39"/>
      </c>
      <c s="75">
        <f t="shared" si="40"/>
      </c>
      <c s="76">
        <f t="shared" si="41"/>
      </c>
      <c s="75">
        <f t="shared" si="42"/>
        <v>40020620.4944992</v>
      </c>
      <c s="76">
        <f t="shared" si="43"/>
        <v>3</v>
      </c>
      <c s="75">
        <f t="shared" si="44"/>
      </c>
      <c s="76">
        <f t="shared" si="45"/>
      </c>
      <c s="75">
        <f t="shared" si="46"/>
      </c>
      <c s="76">
        <f t="shared" si="47"/>
      </c>
      <c s="75">
        <f t="shared" si="30"/>
      </c>
      <c s="76">
        <f t="shared" si="48"/>
      </c>
      <c s="65" t="str">
        <f t="shared" si="19"/>
        <v>Meijer</v>
      </c>
      <c s="65" t="str">
        <f t="shared" si="20"/>
        <v>GroceryX</v>
      </c>
      <c s="72" t="str">
        <f>IF('[1]Leakage Tree Data'!A67&lt;&gt;"",'[1]Leakage Tree Data'!A67,"")</f>
        <v>Total US - Meijer</v>
      </c>
      <c s="72" t="str">
        <f>IF('[1]Leakage Tree Data'!B67&lt;&gt;"",'[1]Leakage Tree Data'!B67,"")</f>
        <v>Total US - GroceryX</v>
      </c>
      <c s="72">
        <f>IF('[1]Leakage Tree Data'!C67&lt;&gt;"",'[1]Leakage Tree Data'!C67,"")</f>
        <v>121171760.292236</v>
      </c>
      <c s="72">
        <f>IF('[1]Leakage Tree Data'!D67&lt;&gt;"",'[1]Leakage Tree Data'!D67,"")</f>
        <v>8847363.53125</v>
      </c>
      <c s="72">
        <f>IF('[1]Leakage Tree Data'!E67&lt;&gt;"",'[1]Leakage Tree Data'!E67,"")</f>
        <v>7.30150615119591</v>
      </c>
      <c s="72">
        <f>IF('[1]Leakage Tree Data'!F67&lt;&gt;"",'[1]Leakage Tree Data'!F67,"")</f>
        <v>112324396.760986</v>
      </c>
      <c s="72">
        <f>IF('[1]Leakage Tree Data'!G67&lt;&gt;"",'[1]Leakage Tree Data'!G67,"")</f>
        <v>92.6984938488041</v>
      </c>
      <c s="72">
        <f>IF('[1]Leakage Tree Data'!H67&lt;&gt;"",'[1]Leakage Tree Data'!H67,"")</f>
        <v>61518209.9918823</v>
      </c>
      <c s="72" t="str">
        <f>IF('[1]Leakage Tree Data'!I67&lt;&gt;"",'[1]Leakage Tree Data'!I67,"")</f>
        <v>GroceryX</v>
      </c>
      <c s="72">
        <f>IF('[1]Leakage Tree Data'!J67&lt;&gt;"",'[1]Leakage Tree Data'!J67,"")</f>
        <v>96.2312418395951</v>
      </c>
      <c s="72">
        <f>IF('[1]Leakage Tree Data'!K67&lt;&gt;"",'[1]Leakage Tree Data'!K67,"")</f>
        <v>2318472.5592041</v>
      </c>
      <c s="72">
        <f>IF('[1]Leakage Tree Data'!L67&lt;&gt;"",'[1]Leakage Tree Data'!L67,"")</f>
        <v>7389159.6093235</v>
      </c>
      <c s="72">
        <f>IF('[1]Leakage Tree Data'!M67&lt;&gt;"",'[1]Leakage Tree Data'!M67,"")</f>
        <v>40020620.4944992</v>
      </c>
      <c s="72">
        <f>IF('[1]Leakage Tree Data'!N67&lt;&gt;"",'[1]Leakage Tree Data'!N67,"")</f>
        <v>7389159.6093235</v>
      </c>
      <c s="72">
        <f>IF('[1]Leakage Tree Data'!O67&lt;&gt;"",'[1]Leakage Tree Data'!O67,"")</f>
        <v>50.4801711630131</v>
      </c>
      <c s="72">
        <f>IF('[1]Leakage Tree Data'!P67&lt;&gt;"",'[1]Leakage Tree Data'!P67,"")</f>
        <v>2606774.49050178</v>
      </c>
      <c s="72">
        <f>IF('[1]Leakage Tree Data'!Q67&lt;&gt;"",'[1]Leakage Tree Data'!Q67,"")</f>
      </c>
      <c s="72">
        <f>IF('[1]Leakage Tree Data'!R67&lt;&gt;"",'[1]Leakage Tree Data'!R67,"")</f>
        <v>1017625.85098267</v>
      </c>
      <c s="72">
        <f>IF('[1]Leakage Tree Data'!S67&lt;&gt;"",'[1]Leakage Tree Data'!S67,"")</f>
        <v>244799.751068115</v>
      </c>
      <c s="72">
        <f>IF('[1]Leakage Tree Data'!T67&lt;&gt;"",'[1]Leakage Tree Data'!T67,"")</f>
        <v>0.141899184539351</v>
      </c>
      <c s="72">
        <f>IF('[1]Leakage Tree Data'!U67&lt;&gt;"",'[1]Leakage Tree Data'!U67,"")</f>
        <v>772826.099914551</v>
      </c>
      <c s="72">
        <f>IF('[1]Leakage Tree Data'!V67&lt;&gt;"",'[1]Leakage Tree Data'!V67,"")</f>
        <v>-0.141899184539355</v>
      </c>
      <c s="72">
        <f>IF('[1]Leakage Tree Data'!W67&lt;&gt;"",'[1]Leakage Tree Data'!W67,"")</f>
        <v>-1855949.2237854</v>
      </c>
      <c s="72">
        <f>IF('[1]Leakage Tree Data'!X67&lt;&gt;"",'[1]Leakage Tree Data'!X67,"")</f>
      </c>
      <c s="72">
        <f>IF('[1]Leakage Tree Data'!Y67&lt;&gt;"",'[1]Leakage Tree Data'!Y67,"")</f>
        <v>-0.0807737373478972</v>
      </c>
      <c s="72">
        <f>IF('[1]Leakage Tree Data'!Z67&lt;&gt;"",'[1]Leakage Tree Data'!Z67,"")</f>
        <v>-18756.5609130859</v>
      </c>
      <c s="72">
        <f>IF('[1]Leakage Tree Data'!AA67&lt;&gt;"",'[1]Leakage Tree Data'!AA67,"")</f>
        <v>-2414952.22364712</v>
      </c>
      <c s="72">
        <f>IF('[1]Leakage Tree Data'!AB67&lt;&gt;"",'[1]Leakage Tree Data'!AB67,"")</f>
        <v>928403.112075806</v>
      </c>
      <c s="72">
        <f>IF('[1]Leakage Tree Data'!AC67&lt;&gt;"",'[1]Leakage Tree Data'!AC67,"")</f>
        <v>-2414952.22364712</v>
      </c>
      <c s="72">
        <f>IF('[1]Leakage Tree Data'!AD67&lt;&gt;"",'[1]Leakage Tree Data'!AD67,"")</f>
        <v>1.078088069378</v>
      </c>
      <c s="72">
        <f>IF('[1]Leakage Tree Data'!AE67&lt;&gt;"",'[1]Leakage Tree Data'!AE67,"")</f>
      </c>
      <c s="73">
        <f t="shared" si="49"/>
      </c>
      <c s="73">
        <f t="shared" si="50"/>
      </c>
      <c s="73">
        <f t="shared" si="51"/>
      </c>
      <c s="73">
        <f t="shared" si="52"/>
      </c>
      <c s="74">
        <f t="shared" si="53"/>
      </c>
      <c s="74">
        <f t="shared" si="54"/>
      </c>
      <c s="69" t="str">
        <f t="shared" si="0"/>
        <v>Total US - Meijer</v>
      </c>
      <c s="69" t="str">
        <f t="shared" si="1"/>
        <v>Total US - GroceryX</v>
      </c>
      <c s="77"/>
    </row>
    <row r="169" spans="1:141" ht="15">
      <c r="A16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 t="shared" si="31"/>
      </c>
      <c s="76">
        <f t="shared" si="32"/>
      </c>
      <c s="75">
        <f t="shared" si="33"/>
      </c>
      <c s="76">
        <f t="shared" si="34"/>
      </c>
      <c s="75">
        <f t="shared" si="35"/>
      </c>
      <c s="76">
        <f t="shared" si="36"/>
      </c>
      <c s="75">
        <f t="shared" si="37"/>
      </c>
      <c s="76">
        <f t="shared" si="38"/>
      </c>
      <c s="75">
        <f t="shared" si="29"/>
      </c>
      <c s="76">
        <f t="shared" si="39"/>
      </c>
      <c s="75">
        <f t="shared" si="40"/>
      </c>
      <c s="76">
        <f t="shared" si="41"/>
      </c>
      <c s="75">
        <f t="shared" si="42"/>
        <v>4924483.23010254</v>
      </c>
      <c s="76">
        <f t="shared" si="43"/>
        <v>31</v>
      </c>
      <c s="75">
        <f t="shared" si="44"/>
      </c>
      <c s="76">
        <f t="shared" si="45"/>
      </c>
      <c s="75">
        <f t="shared" si="46"/>
      </c>
      <c s="76">
        <f t="shared" si="47"/>
      </c>
      <c s="75">
        <f t="shared" si="30"/>
      </c>
      <c s="76">
        <f t="shared" si="48"/>
      </c>
      <c s="65" t="str">
        <f t="shared" si="19"/>
        <v>Pathmark</v>
      </c>
      <c s="65" t="str">
        <f t="shared" si="20"/>
        <v>GroceryX</v>
      </c>
      <c s="72" t="str">
        <f>IF('[1]Leakage Tree Data'!A68&lt;&gt;"",'[1]Leakage Tree Data'!A68,"")</f>
        <v>Total US - Pathmark</v>
      </c>
      <c s="72" t="str">
        <f>IF('[1]Leakage Tree Data'!B68&lt;&gt;"",'[1]Leakage Tree Data'!B68,"")</f>
        <v>Total US - GroceryX</v>
      </c>
      <c s="72">
        <f>IF('[1]Leakage Tree Data'!C68&lt;&gt;"",'[1]Leakage Tree Data'!C68,"")</f>
        <v>121171760.292236</v>
      </c>
      <c s="72">
        <f>IF('[1]Leakage Tree Data'!D68&lt;&gt;"",'[1]Leakage Tree Data'!D68,"")</f>
        <v>2564329.57525635</v>
      </c>
      <c s="72">
        <f>IF('[1]Leakage Tree Data'!E68&lt;&gt;"",'[1]Leakage Tree Data'!E68,"")</f>
        <v>2.11627657225728</v>
      </c>
      <c s="72">
        <f>IF('[1]Leakage Tree Data'!F68&lt;&gt;"",'[1]Leakage Tree Data'!F68,"")</f>
        <v>118607430.71698</v>
      </c>
      <c s="72">
        <f>IF('[1]Leakage Tree Data'!G68&lt;&gt;"",'[1]Leakage Tree Data'!G68,"")</f>
        <v>97.8837234277427</v>
      </c>
      <c s="72">
        <f>IF('[1]Leakage Tree Data'!H68&lt;&gt;"",'[1]Leakage Tree Data'!H68,"")</f>
        <v>61518209.9918823</v>
      </c>
      <c s="72" t="str">
        <f>IF('[1]Leakage Tree Data'!I68&lt;&gt;"",'[1]Leakage Tree Data'!I68,"")</f>
        <v>GroceryX</v>
      </c>
      <c s="72">
        <f>IF('[1]Leakage Tree Data'!J68&lt;&gt;"",'[1]Leakage Tree Data'!J68,"")</f>
        <v>99.4731160483238</v>
      </c>
      <c s="72">
        <f>IF('[1]Leakage Tree Data'!K68&lt;&gt;"",'[1]Leakage Tree Data'!K68,"")</f>
        <v>324129.575805664</v>
      </c>
      <c s="72">
        <f>IF('[1]Leakage Tree Data'!L68&lt;&gt;"",'[1]Leakage Tree Data'!L68,"")</f>
      </c>
      <c s="72">
        <f>IF('[1]Leakage Tree Data'!M68&lt;&gt;"",'[1]Leakage Tree Data'!M68,"")</f>
        <v>4924483.23010254</v>
      </c>
      <c s="72">
        <f>IF('[1]Leakage Tree Data'!N68&lt;&gt;"",'[1]Leakage Tree Data'!N68,"")</f>
      </c>
      <c s="72">
        <f>IF('[1]Leakage Tree Data'!O68&lt;&gt;"",'[1]Leakage Tree Data'!O68,"")</f>
        <v>25.5932993439886</v>
      </c>
      <c s="72">
        <f>IF('[1]Leakage Tree Data'!P68&lt;&gt;"",'[1]Leakage Tree Data'!P68,"")</f>
        <v>488154.856718512</v>
      </c>
      <c s="72">
        <f>IF('[1]Leakage Tree Data'!Q68&lt;&gt;"",'[1]Leakage Tree Data'!Q68,"")</f>
      </c>
      <c s="72">
        <f>IF('[1]Leakage Tree Data'!R68&lt;&gt;"",'[1]Leakage Tree Data'!R68,"")</f>
        <v>1017625.85098267</v>
      </c>
      <c s="72">
        <f>IF('[1]Leakage Tree Data'!S68&lt;&gt;"",'[1]Leakage Tree Data'!S68,"")</f>
        <v>-363827.277893066</v>
      </c>
      <c s="72">
        <f>IF('[1]Leakage Tree Data'!T68&lt;&gt;"",'[1]Leakage Tree Data'!T68,"")</f>
        <v>-0.320723924451439</v>
      </c>
      <c s="72">
        <f>IF('[1]Leakage Tree Data'!U68&lt;&gt;"",'[1]Leakage Tree Data'!U68,"")</f>
        <v>1381453.12887573</v>
      </c>
      <c s="72">
        <f>IF('[1]Leakage Tree Data'!V68&lt;&gt;"",'[1]Leakage Tree Data'!V68,"")</f>
        <v>0.320723924451443</v>
      </c>
      <c s="72">
        <f>IF('[1]Leakage Tree Data'!W68&lt;&gt;"",'[1]Leakage Tree Data'!W68,"")</f>
        <v>-1855949.2237854</v>
      </c>
      <c s="72">
        <f>IF('[1]Leakage Tree Data'!X68&lt;&gt;"",'[1]Leakage Tree Data'!X68,"")</f>
      </c>
      <c s="72">
        <f>IF('[1]Leakage Tree Data'!Y68&lt;&gt;"",'[1]Leakage Tree Data'!Y68,"")</f>
        <v>0.121595842798243</v>
      </c>
      <c s="72">
        <f>IF('[1]Leakage Tree Data'!Z68&lt;&gt;"",'[1]Leakage Tree Data'!Z68,"")</f>
        <v>-86839.0416259766</v>
      </c>
      <c s="72">
        <f>IF('[1]Leakage Tree Data'!AA68&lt;&gt;"",'[1]Leakage Tree Data'!AA68,"")</f>
      </c>
      <c s="72">
        <f>IF('[1]Leakage Tree Data'!AB68&lt;&gt;"",'[1]Leakage Tree Data'!AB68,"")</f>
        <v>-2800038.25487518</v>
      </c>
      <c s="72">
        <f>IF('[1]Leakage Tree Data'!AC68&lt;&gt;"",'[1]Leakage Tree Data'!AC68,"")</f>
      </c>
      <c s="72">
        <f>IF('[1]Leakage Tree Data'!AD68&lt;&gt;"",'[1]Leakage Tree Data'!AD68,"")</f>
        <v>-5.73579781253524</v>
      </c>
      <c s="72">
        <f>IF('[1]Leakage Tree Data'!AE68&lt;&gt;"",'[1]Leakage Tree Data'!AE68,"")</f>
      </c>
      <c s="73">
        <f t="shared" si="49"/>
      </c>
      <c s="73">
        <f t="shared" si="50"/>
      </c>
      <c s="73">
        <f t="shared" si="51"/>
      </c>
      <c s="73">
        <f t="shared" si="52"/>
      </c>
      <c s="74">
        <f t="shared" si="53"/>
      </c>
      <c s="74">
        <f t="shared" si="54"/>
      </c>
      <c s="69" t="str">
        <f t="shared" si="0"/>
        <v>Total US - Pathmark</v>
      </c>
      <c s="69" t="str">
        <f t="shared" si="1"/>
        <v>Total US - GroceryX</v>
      </c>
      <c s="77"/>
    </row>
    <row r="170" spans="1:141" ht="15">
      <c r="A17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 t="shared" si="31"/>
      </c>
      <c s="76">
        <f t="shared" si="32"/>
      </c>
      <c s="75">
        <f t="shared" si="33"/>
      </c>
      <c s="76">
        <f t="shared" si="34"/>
      </c>
      <c s="75">
        <f t="shared" si="35"/>
      </c>
      <c s="76">
        <f t="shared" si="36"/>
      </c>
      <c s="75">
        <f t="shared" si="37"/>
      </c>
      <c s="76">
        <f t="shared" si="38"/>
      </c>
      <c s="75">
        <f t="shared" si="29"/>
      </c>
      <c s="76">
        <f t="shared" si="39"/>
      </c>
      <c s="75">
        <f t="shared" si="40"/>
      </c>
      <c s="76">
        <f t="shared" si="41"/>
      </c>
      <c s="75">
        <f t="shared" si="42"/>
        <v>2941151.47918701</v>
      </c>
      <c s="76">
        <f t="shared" si="43"/>
        <v>37</v>
      </c>
      <c s="75">
        <f t="shared" si="44"/>
      </c>
      <c s="76">
        <f t="shared" si="45"/>
      </c>
      <c s="75">
        <f t="shared" si="46"/>
      </c>
      <c s="76">
        <f t="shared" si="47"/>
      </c>
      <c s="75">
        <f t="shared" si="30"/>
      </c>
      <c s="76">
        <f t="shared" si="48"/>
      </c>
      <c s="65" t="str">
        <f t="shared" si="19"/>
        <v>Pick N Save</v>
      </c>
      <c s="65" t="str">
        <f t="shared" si="20"/>
        <v>GroceryX</v>
      </c>
      <c s="72" t="str">
        <f>IF('[1]Leakage Tree Data'!A69&lt;&gt;"",'[1]Leakage Tree Data'!A69,"")</f>
        <v>Total US - Pick N Save</v>
      </c>
      <c s="72" t="str">
        <f>IF('[1]Leakage Tree Data'!B69&lt;&gt;"",'[1]Leakage Tree Data'!B69,"")</f>
        <v>Total US - GroceryX</v>
      </c>
      <c s="72">
        <f>IF('[1]Leakage Tree Data'!C69&lt;&gt;"",'[1]Leakage Tree Data'!C69,"")</f>
        <v>121171760.292236</v>
      </c>
      <c s="72">
        <f>IF('[1]Leakage Tree Data'!D69&lt;&gt;"",'[1]Leakage Tree Data'!D69,"")</f>
        <v>1156001.49047852</v>
      </c>
      <c s="72">
        <f>IF('[1]Leakage Tree Data'!E69&lt;&gt;"",'[1]Leakage Tree Data'!E69,"")</f>
        <v>0.954018896556859</v>
      </c>
      <c s="72">
        <f>IF('[1]Leakage Tree Data'!F69&lt;&gt;"",'[1]Leakage Tree Data'!F69,"")</f>
        <v>120015758.801758</v>
      </c>
      <c s="72">
        <f>IF('[1]Leakage Tree Data'!G69&lt;&gt;"",'[1]Leakage Tree Data'!G69,"")</f>
        <v>99.0459811034431</v>
      </c>
      <c s="72">
        <f>IF('[1]Leakage Tree Data'!H69&lt;&gt;"",'[1]Leakage Tree Data'!H69,"")</f>
        <v>61518209.9918823</v>
      </c>
      <c s="72" t="str">
        <f>IF('[1]Leakage Tree Data'!I69&lt;&gt;"",'[1]Leakage Tree Data'!I69,"")</f>
        <v>GroceryX</v>
      </c>
      <c s="72">
        <f>IF('[1]Leakage Tree Data'!J69&lt;&gt;"",'[1]Leakage Tree Data'!J69,"")</f>
        <v>99.6051197772806</v>
      </c>
      <c s="72">
        <f>IF('[1]Leakage Tree Data'!K69&lt;&gt;"",'[1]Leakage Tree Data'!K69,"")</f>
        <v>242923.244628906</v>
      </c>
      <c s="72">
        <f>IF('[1]Leakage Tree Data'!L69&lt;&gt;"",'[1]Leakage Tree Data'!L69,"")</f>
      </c>
      <c s="72">
        <f>IF('[1]Leakage Tree Data'!M69&lt;&gt;"",'[1]Leakage Tree Data'!M69,"")</f>
        <v>2941151.47918701</v>
      </c>
      <c s="72">
        <f>IF('[1]Leakage Tree Data'!N69&lt;&gt;"",'[1]Leakage Tree Data'!N69,"")</f>
      </c>
      <c s="72">
        <f>IF('[1]Leakage Tree Data'!O69&lt;&gt;"",'[1]Leakage Tree Data'!O69,"")</f>
        <v>35.394167054273</v>
      </c>
      <c s="72">
        <f>IF('[1]Leakage Tree Data'!P69&lt;&gt;"",'[1]Leakage Tree Data'!P69,"")</f>
        <v>229689.572610307</v>
      </c>
      <c s="72">
        <f>IF('[1]Leakage Tree Data'!Q69&lt;&gt;"",'[1]Leakage Tree Data'!Q69,"")</f>
      </c>
      <c s="72">
        <f>IF('[1]Leakage Tree Data'!R69&lt;&gt;"",'[1]Leakage Tree Data'!R69,"")</f>
        <v>1017625.85098267</v>
      </c>
      <c s="72">
        <f>IF('[1]Leakage Tree Data'!S69&lt;&gt;"",'[1]Leakage Tree Data'!S69,"")</f>
        <v>-67347.1894836426</v>
      </c>
      <c s="72">
        <f>IF('[1]Leakage Tree Data'!T69&lt;&gt;"",'[1]Leakage Tree Data'!T69,"")</f>
        <v>-0.06413057091759</v>
      </c>
      <c s="72">
        <f>IF('[1]Leakage Tree Data'!U69&lt;&gt;"",'[1]Leakage Tree Data'!U69,"")</f>
        <v>1084973.04046631</v>
      </c>
      <c s="72">
        <f>IF('[1]Leakage Tree Data'!V69&lt;&gt;"",'[1]Leakage Tree Data'!V69,"")</f>
        <v>0.0641305709175839</v>
      </c>
      <c s="72">
        <f>IF('[1]Leakage Tree Data'!W69&lt;&gt;"",'[1]Leakage Tree Data'!W69,"")</f>
        <v>-1855949.2237854</v>
      </c>
      <c s="72">
        <f>IF('[1]Leakage Tree Data'!X69&lt;&gt;"",'[1]Leakage Tree Data'!X69,"")</f>
      </c>
      <c s="72">
        <f>IF('[1]Leakage Tree Data'!Y69&lt;&gt;"",'[1]Leakage Tree Data'!Y69,"")</f>
        <v>0.00889717611822505</v>
      </c>
      <c s="72">
        <f>IF('[1]Leakage Tree Data'!Z69&lt;&gt;"",'[1]Leakage Tree Data'!Z69,"")</f>
        <v>-12967.2869873047</v>
      </c>
      <c s="72">
        <f>IF('[1]Leakage Tree Data'!AA69&lt;&gt;"",'[1]Leakage Tree Data'!AA69,"")</f>
      </c>
      <c s="72">
        <f>IF('[1]Leakage Tree Data'!AB69&lt;&gt;"",'[1]Leakage Tree Data'!AB69,"")</f>
        <v>218870.694458008</v>
      </c>
      <c s="72">
        <f>IF('[1]Leakage Tree Data'!AC69&lt;&gt;"",'[1]Leakage Tree Data'!AC69,"")</f>
      </c>
      <c s="72">
        <f>IF('[1]Leakage Tree Data'!AD69&lt;&gt;"",'[1]Leakage Tree Data'!AD69,"")</f>
        <v>-1.2537410776039</v>
      </c>
      <c s="72">
        <f>IF('[1]Leakage Tree Data'!AE69&lt;&gt;"",'[1]Leakage Tree Data'!AE69,"")</f>
      </c>
      <c s="73">
        <f t="shared" si="49"/>
      </c>
      <c s="73">
        <f t="shared" si="50"/>
      </c>
      <c s="73">
        <f t="shared" si="51"/>
      </c>
      <c s="73">
        <f t="shared" si="52"/>
      </c>
      <c s="74">
        <f t="shared" si="53"/>
      </c>
      <c s="74">
        <f t="shared" si="54"/>
      </c>
      <c s="69" t="str">
        <f t="shared" si="0"/>
        <v>Total US - Pick N Save</v>
      </c>
      <c s="69" t="str">
        <f t="shared" si="1"/>
        <v>Total US - GroceryX</v>
      </c>
      <c s="77"/>
    </row>
    <row r="171" spans="1:141" ht="15">
      <c r="A17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 t="shared" si="31"/>
      </c>
      <c s="76">
        <f t="shared" si="32"/>
      </c>
      <c s="75">
        <f t="shared" si="33"/>
      </c>
      <c s="76">
        <f t="shared" si="34"/>
      </c>
      <c s="75">
        <f t="shared" si="35"/>
      </c>
      <c s="76">
        <f t="shared" si="36"/>
      </c>
      <c s="75">
        <f t="shared" si="37"/>
      </c>
      <c s="76">
        <f t="shared" si="38"/>
      </c>
      <c s="75">
        <f t="shared" si="29"/>
      </c>
      <c s="76">
        <f t="shared" si="39"/>
      </c>
      <c s="75">
        <f t="shared" si="40"/>
      </c>
      <c s="76">
        <f t="shared" si="41"/>
      </c>
      <c s="75">
        <f t="shared" si="42"/>
        <v>2470128.81488037</v>
      </c>
      <c s="76">
        <f t="shared" si="43"/>
        <v>39</v>
      </c>
      <c s="75">
        <f t="shared" si="44"/>
      </c>
      <c s="76">
        <f t="shared" si="45"/>
      </c>
      <c s="75">
        <f t="shared" si="46"/>
      </c>
      <c s="76">
        <f t="shared" si="47"/>
      </c>
      <c s="75">
        <f t="shared" si="30"/>
      </c>
      <c s="76">
        <f t="shared" si="48"/>
      </c>
      <c s="65" t="str">
        <f t="shared" si="19"/>
        <v>Piggly Wiggly</v>
      </c>
      <c s="65" t="str">
        <f t="shared" si="20"/>
        <v>GroceryX</v>
      </c>
      <c s="72" t="str">
        <f>IF('[1]Leakage Tree Data'!A70&lt;&gt;"",'[1]Leakage Tree Data'!A70,"")</f>
        <v>Total US - Piggly Wiggly</v>
      </c>
      <c s="72" t="str">
        <f>IF('[1]Leakage Tree Data'!B70&lt;&gt;"",'[1]Leakage Tree Data'!B70,"")</f>
        <v>Total US - GroceryX</v>
      </c>
      <c s="72">
        <f>IF('[1]Leakage Tree Data'!C70&lt;&gt;"",'[1]Leakage Tree Data'!C70,"")</f>
        <v>121171760.292236</v>
      </c>
      <c s="72">
        <f>IF('[1]Leakage Tree Data'!D70&lt;&gt;"",'[1]Leakage Tree Data'!D70,"")</f>
        <v>3273275.59637451</v>
      </c>
      <c s="72">
        <f>IF('[1]Leakage Tree Data'!E70&lt;&gt;"",'[1]Leakage Tree Data'!E70,"")</f>
        <v>2.70135185663737</v>
      </c>
      <c s="72">
        <f>IF('[1]Leakage Tree Data'!F70&lt;&gt;"",'[1]Leakage Tree Data'!F70,"")</f>
        <v>117898484.695862</v>
      </c>
      <c s="72">
        <f>IF('[1]Leakage Tree Data'!G70&lt;&gt;"",'[1]Leakage Tree Data'!G70,"")</f>
        <v>97.2986481433626</v>
      </c>
      <c s="72">
        <f>IF('[1]Leakage Tree Data'!H70&lt;&gt;"",'[1]Leakage Tree Data'!H70,"")</f>
        <v>61518209.9918823</v>
      </c>
      <c s="72" t="str">
        <f>IF('[1]Leakage Tree Data'!I70&lt;&gt;"",'[1]Leakage Tree Data'!I70,"")</f>
        <v>GroceryX</v>
      </c>
      <c s="72">
        <f>IF('[1]Leakage Tree Data'!J70&lt;&gt;"",'[1]Leakage Tree Data'!J70,"")</f>
        <v>99.6147765897626</v>
      </c>
      <c s="72">
        <f>IF('[1]Leakage Tree Data'!K70&lt;&gt;"",'[1]Leakage Tree Data'!K70,"")</f>
        <v>236982.546447754</v>
      </c>
      <c s="72">
        <f>IF('[1]Leakage Tree Data'!L70&lt;&gt;"",'[1]Leakage Tree Data'!L70,"")</f>
      </c>
      <c s="72">
        <f>IF('[1]Leakage Tree Data'!M70&lt;&gt;"",'[1]Leakage Tree Data'!M70,"")</f>
        <v>2470128.81488037</v>
      </c>
      <c s="72">
        <f>IF('[1]Leakage Tree Data'!N70&lt;&gt;"",'[1]Leakage Tree Data'!N70,"")</f>
      </c>
      <c s="72">
        <f>IF('[1]Leakage Tree Data'!O70&lt;&gt;"",'[1]Leakage Tree Data'!O70,"")</f>
        <v>18.1297494549732</v>
      </c>
      <c s="72">
        <f>IF('[1]Leakage Tree Data'!P70&lt;&gt;"",'[1]Leakage Tree Data'!P70,"")</f>
        <v>369053.094971839</v>
      </c>
      <c s="72">
        <f>IF('[1]Leakage Tree Data'!Q70&lt;&gt;"",'[1]Leakage Tree Data'!Q70,"")</f>
      </c>
      <c s="72">
        <f>IF('[1]Leakage Tree Data'!R70&lt;&gt;"",'[1]Leakage Tree Data'!R70,"")</f>
        <v>1017625.85098267</v>
      </c>
      <c s="72">
        <f>IF('[1]Leakage Tree Data'!S70&lt;&gt;"",'[1]Leakage Tree Data'!S70,"")</f>
        <v>-115347.588775635</v>
      </c>
      <c s="72">
        <f>IF('[1]Leakage Tree Data'!T70&lt;&gt;"",'[1]Leakage Tree Data'!T70,"")</f>
        <v>-0.118878342604693</v>
      </c>
      <c s="72">
        <f>IF('[1]Leakage Tree Data'!U70&lt;&gt;"",'[1]Leakage Tree Data'!U70,"")</f>
        <v>1132973.4397583</v>
      </c>
      <c s="72">
        <f>IF('[1]Leakage Tree Data'!V70&lt;&gt;"",'[1]Leakage Tree Data'!V70,"")</f>
        <v>0.118878342604688</v>
      </c>
      <c s="72">
        <f>IF('[1]Leakage Tree Data'!W70&lt;&gt;"",'[1]Leakage Tree Data'!W70,"")</f>
        <v>-1855949.2237854</v>
      </c>
      <c s="72">
        <f>IF('[1]Leakage Tree Data'!X70&lt;&gt;"",'[1]Leakage Tree Data'!X70,"")</f>
      </c>
      <c s="72">
        <f>IF('[1]Leakage Tree Data'!Y70&lt;&gt;"",'[1]Leakage Tree Data'!Y70,"")</f>
        <v>-0.02454899421204</v>
      </c>
      <c s="72">
        <f>IF('[1]Leakage Tree Data'!Z70&lt;&gt;"",'[1]Leakage Tree Data'!Z70,"")</f>
        <v>8408.16778564453</v>
      </c>
      <c s="72">
        <f>IF('[1]Leakage Tree Data'!AA70&lt;&gt;"",'[1]Leakage Tree Data'!AA70,"")</f>
      </c>
      <c s="72">
        <f>IF('[1]Leakage Tree Data'!AB70&lt;&gt;"",'[1]Leakage Tree Data'!AB70,"")</f>
        <v>-569386.783935547</v>
      </c>
      <c s="72">
        <f>IF('[1]Leakage Tree Data'!AC70&lt;&gt;"",'[1]Leakage Tree Data'!AC70,"")</f>
      </c>
      <c s="72">
        <f>IF('[1]Leakage Tree Data'!AD70&lt;&gt;"",'[1]Leakage Tree Data'!AD70,"")</f>
        <v>0.747887436503316</v>
      </c>
      <c s="72">
        <f>IF('[1]Leakage Tree Data'!AE70&lt;&gt;"",'[1]Leakage Tree Data'!AE70,"")</f>
      </c>
      <c s="73">
        <f t="shared" si="49"/>
      </c>
      <c s="73">
        <f t="shared" si="50"/>
      </c>
      <c s="73">
        <f t="shared" si="51"/>
      </c>
      <c s="73">
        <f t="shared" si="52"/>
      </c>
      <c s="74">
        <f t="shared" si="53"/>
      </c>
      <c s="74">
        <f t="shared" si="54"/>
      </c>
      <c s="69" t="str">
        <f t="shared" si="0"/>
        <v>Total US - Piggly Wiggly</v>
      </c>
      <c s="69" t="str">
        <f t="shared" si="1"/>
        <v>Total US - GroceryX</v>
      </c>
      <c s="77"/>
    </row>
    <row r="172" spans="1:141" ht="15">
      <c r="A17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 t="shared" si="31"/>
      </c>
      <c s="76">
        <f t="shared" si="32"/>
      </c>
      <c s="75">
        <f t="shared" si="33"/>
        <v>1769158.40209961</v>
      </c>
      <c s="76">
        <f t="shared" si="34"/>
        <v>27</v>
      </c>
      <c s="75">
        <f t="shared" si="35"/>
      </c>
      <c s="76">
        <f t="shared" si="36"/>
      </c>
      <c s="75">
        <f t="shared" si="37"/>
      </c>
      <c s="76">
        <f t="shared" si="38"/>
      </c>
      <c s="75">
        <f t="shared" si="29"/>
      </c>
      <c s="76">
        <f t="shared" si="39"/>
      </c>
      <c s="75">
        <f t="shared" si="40"/>
      </c>
      <c s="76">
        <f t="shared" si="41"/>
      </c>
      <c s="75">
        <f t="shared" si="42"/>
        <v>7302698.63381958</v>
      </c>
      <c s="76">
        <f t="shared" si="43"/>
        <v>21</v>
      </c>
      <c s="75">
        <f t="shared" si="44"/>
      </c>
      <c s="76">
        <f t="shared" si="45"/>
      </c>
      <c s="75">
        <f t="shared" si="46"/>
      </c>
      <c s="76">
        <f t="shared" si="47"/>
      </c>
      <c s="75">
        <f t="shared" si="30"/>
      </c>
      <c s="76">
        <f t="shared" si="48"/>
      </c>
      <c s="65" t="str">
        <f t="shared" si="19"/>
        <v>Price Chopper</v>
      </c>
      <c s="65" t="str">
        <f t="shared" si="20"/>
        <v>GroceryX</v>
      </c>
      <c s="72" t="str">
        <f>IF('[1]Leakage Tree Data'!A71&lt;&gt;"",'[1]Leakage Tree Data'!A71,"")</f>
        <v>Total US - Price Chopper</v>
      </c>
      <c s="72" t="str">
        <f>IF('[1]Leakage Tree Data'!B71&lt;&gt;"",'[1]Leakage Tree Data'!B71,"")</f>
        <v>Total US - GroceryX</v>
      </c>
      <c s="72">
        <f>IF('[1]Leakage Tree Data'!C71&lt;&gt;"",'[1]Leakage Tree Data'!C71,"")</f>
        <v>121171760.292236</v>
      </c>
      <c s="72">
        <f>IF('[1]Leakage Tree Data'!D71&lt;&gt;"",'[1]Leakage Tree Data'!D71,"")</f>
        <v>2056375.40771484</v>
      </c>
      <c s="72">
        <f>IF('[1]Leakage Tree Data'!E71&lt;&gt;"",'[1]Leakage Tree Data'!E71,"")</f>
        <v>1.69707479923984</v>
      </c>
      <c s="72">
        <f>IF('[1]Leakage Tree Data'!F71&lt;&gt;"",'[1]Leakage Tree Data'!F71,"")</f>
        <v>119115384.884521</v>
      </c>
      <c s="72">
        <f>IF('[1]Leakage Tree Data'!G71&lt;&gt;"",'[1]Leakage Tree Data'!G71,"")</f>
        <v>98.3029252007602</v>
      </c>
      <c s="72">
        <f>IF('[1]Leakage Tree Data'!H71&lt;&gt;"",'[1]Leakage Tree Data'!H71,"")</f>
        <v>61518209.9918823</v>
      </c>
      <c s="72" t="str">
        <f>IF('[1]Leakage Tree Data'!I71&lt;&gt;"",'[1]Leakage Tree Data'!I71,"")</f>
        <v>GroceryX</v>
      </c>
      <c s="72">
        <f>IF('[1]Leakage Tree Data'!J71&lt;&gt;"",'[1]Leakage Tree Data'!J71,"")</f>
        <v>99.267635421736</v>
      </c>
      <c s="72">
        <f>IF('[1]Leakage Tree Data'!K71&lt;&gt;"",'[1]Leakage Tree Data'!K71,"")</f>
        <v>450537.579162598</v>
      </c>
      <c s="72">
        <f>IF('[1]Leakage Tree Data'!L71&lt;&gt;"",'[1]Leakage Tree Data'!L71,"")</f>
        <v>1769158.40209961</v>
      </c>
      <c s="72">
        <f>IF('[1]Leakage Tree Data'!M71&lt;&gt;"",'[1]Leakage Tree Data'!M71,"")</f>
        <v>7302698.63381958</v>
      </c>
      <c s="72">
        <f>IF('[1]Leakage Tree Data'!N71&lt;&gt;"",'[1]Leakage Tree Data'!N71,"")</f>
        <v>1769158.40209961</v>
      </c>
      <c s="72">
        <f>IF('[1]Leakage Tree Data'!O71&lt;&gt;"",'[1]Leakage Tree Data'!O71,"")</f>
        <v>46.3361039975683</v>
      </c>
      <c s="72">
        <f>IF('[1]Leakage Tree Data'!P71&lt;&gt;"",'[1]Leakage Tree Data'!P71,"")</f>
        <v>540596.052116878</v>
      </c>
      <c s="72">
        <f>IF('[1]Leakage Tree Data'!Q71&lt;&gt;"",'[1]Leakage Tree Data'!Q71,"")</f>
      </c>
      <c s="72">
        <f>IF('[1]Leakage Tree Data'!R71&lt;&gt;"",'[1]Leakage Tree Data'!R71,"")</f>
        <v>1017625.85098267</v>
      </c>
      <c s="72">
        <f>IF('[1]Leakage Tree Data'!S71&lt;&gt;"",'[1]Leakage Tree Data'!S71,"")</f>
        <v>-90622.0295410156</v>
      </c>
      <c s="72">
        <f>IF('[1]Leakage Tree Data'!T71&lt;&gt;"",'[1]Leakage Tree Data'!T71,"")</f>
        <v>-0.0897945808609222</v>
      </c>
      <c s="72">
        <f>IF('[1]Leakage Tree Data'!U71&lt;&gt;"",'[1]Leakage Tree Data'!U71,"")</f>
        <v>1108247.88052368</v>
      </c>
      <c s="72">
        <f>IF('[1]Leakage Tree Data'!V71&lt;&gt;"",'[1]Leakage Tree Data'!V71,"")</f>
        <v>0.0897945808609251</v>
      </c>
      <c s="72">
        <f>IF('[1]Leakage Tree Data'!W71&lt;&gt;"",'[1]Leakage Tree Data'!W71,"")</f>
        <v>-1855949.2237854</v>
      </c>
      <c s="72">
        <f>IF('[1]Leakage Tree Data'!X71&lt;&gt;"",'[1]Leakage Tree Data'!X71,"")</f>
      </c>
      <c s="72">
        <f>IF('[1]Leakage Tree Data'!Y71&lt;&gt;"",'[1]Leakage Tree Data'!Y71,"")</f>
        <v>0.0456949391651023</v>
      </c>
      <c s="72">
        <f>IF('[1]Leakage Tree Data'!Z71&lt;&gt;"",'[1]Leakage Tree Data'!Z71,"")</f>
        <v>-42551.0982055664</v>
      </c>
      <c s="72">
        <f>IF('[1]Leakage Tree Data'!AA71&lt;&gt;"",'[1]Leakage Tree Data'!AA71,"")</f>
        <v>-160526.488998413</v>
      </c>
      <c s="72">
        <f>IF('[1]Leakage Tree Data'!AB71&lt;&gt;"",'[1]Leakage Tree Data'!AB71,"")</f>
        <v>-1303046.68374634</v>
      </c>
      <c s="72">
        <f>IF('[1]Leakage Tree Data'!AC71&lt;&gt;"",'[1]Leakage Tree Data'!AC71,"")</f>
        <v>-160526.488998413</v>
      </c>
      <c s="72">
        <f>IF('[1]Leakage Tree Data'!AD71&lt;&gt;"",'[1]Leakage Tree Data'!AD71,"")</f>
        <v>0.434546600626355</v>
      </c>
      <c s="72">
        <f>IF('[1]Leakage Tree Data'!AE71&lt;&gt;"",'[1]Leakage Tree Data'!AE71,"")</f>
      </c>
      <c s="73">
        <f t="shared" si="49"/>
      </c>
      <c s="73">
        <f t="shared" si="50"/>
      </c>
      <c s="73">
        <f t="shared" si="51"/>
      </c>
      <c s="73">
        <f t="shared" si="52"/>
      </c>
      <c s="74">
        <f t="shared" si="53"/>
      </c>
      <c s="74">
        <f t="shared" si="54"/>
      </c>
      <c s="69" t="str">
        <f t="shared" si="0"/>
        <v>Total US - Price Chopper</v>
      </c>
      <c s="69" t="str">
        <f t="shared" si="1"/>
        <v>Total US - GroceryX</v>
      </c>
      <c s="77"/>
    </row>
    <row r="173" spans="1:141" ht="15">
      <c r="A17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 t="shared" si="31"/>
      </c>
      <c s="76">
        <f t="shared" si="32"/>
      </c>
      <c s="75">
        <f t="shared" si="33"/>
      </c>
      <c s="76">
        <f t="shared" si="34"/>
      </c>
      <c s="75">
        <f t="shared" si="35"/>
      </c>
      <c s="76">
        <f t="shared" si="36"/>
      </c>
      <c s="75">
        <f t="shared" si="37"/>
      </c>
      <c s="76">
        <f t="shared" si="38"/>
      </c>
      <c s="75">
        <f t="shared" si="29"/>
      </c>
      <c s="76">
        <f t="shared" si="39"/>
      </c>
      <c s="75">
        <f t="shared" si="40"/>
      </c>
      <c s="76">
        <f t="shared" si="41"/>
      </c>
      <c s="75">
        <f t="shared" si="42"/>
        <v>1395901.42642212</v>
      </c>
      <c s="76">
        <f t="shared" si="43"/>
        <v>48</v>
      </c>
      <c s="75">
        <f t="shared" si="44"/>
      </c>
      <c s="76">
        <f t="shared" si="45"/>
      </c>
      <c s="75">
        <f t="shared" si="46"/>
      </c>
      <c s="76">
        <f t="shared" si="47"/>
      </c>
      <c s="75">
        <f t="shared" si="30"/>
      </c>
      <c s="76">
        <f t="shared" si="48"/>
      </c>
      <c s="65" t="str">
        <f t="shared" si="19"/>
        <v>Price Rite</v>
      </c>
      <c s="65" t="str">
        <f t="shared" si="20"/>
        <v>GroceryX</v>
      </c>
      <c s="72" t="str">
        <f>IF('[1]Leakage Tree Data'!A72&lt;&gt;"",'[1]Leakage Tree Data'!A72,"")</f>
        <v>Total US - Price Rite</v>
      </c>
      <c s="72" t="str">
        <f>IF('[1]Leakage Tree Data'!B72&lt;&gt;"",'[1]Leakage Tree Data'!B72,"")</f>
        <v>Total US - GroceryX</v>
      </c>
      <c s="72">
        <f>IF('[1]Leakage Tree Data'!C72&lt;&gt;"",'[1]Leakage Tree Data'!C72,"")</f>
        <v>121171760.292236</v>
      </c>
      <c s="72">
        <f>IF('[1]Leakage Tree Data'!D72&lt;&gt;"",'[1]Leakage Tree Data'!D72,"")</f>
        <v>1369646.6583252</v>
      </c>
      <c s="72">
        <f>IF('[1]Leakage Tree Data'!E72&lt;&gt;"",'[1]Leakage Tree Data'!E72,"")</f>
        <v>1.13033486929788</v>
      </c>
      <c s="72">
        <f>IF('[1]Leakage Tree Data'!F72&lt;&gt;"",'[1]Leakage Tree Data'!F72,"")</f>
        <v>119802113.633911</v>
      </c>
      <c s="72">
        <f>IF('[1]Leakage Tree Data'!G72&lt;&gt;"",'[1]Leakage Tree Data'!G72,"")</f>
        <v>98.8696651307021</v>
      </c>
      <c s="72">
        <f>IF('[1]Leakage Tree Data'!H72&lt;&gt;"",'[1]Leakage Tree Data'!H72,"")</f>
        <v>61518209.9918823</v>
      </c>
      <c s="72" t="str">
        <f>IF('[1]Leakage Tree Data'!I72&lt;&gt;"",'[1]Leakage Tree Data'!I72,"")</f>
        <v>GroceryX</v>
      </c>
      <c s="72">
        <f>IF('[1]Leakage Tree Data'!J72&lt;&gt;"",'[1]Leakage Tree Data'!J72,"")</f>
        <v>99.7959341211003</v>
      </c>
      <c s="72">
        <f>IF('[1]Leakage Tree Data'!K72&lt;&gt;"",'[1]Leakage Tree Data'!K72,"")</f>
        <v>125537.67590332</v>
      </c>
      <c s="72">
        <f>IF('[1]Leakage Tree Data'!L72&lt;&gt;"",'[1]Leakage Tree Data'!L72,"")</f>
      </c>
      <c s="72">
        <f>IF('[1]Leakage Tree Data'!M72&lt;&gt;"",'[1]Leakage Tree Data'!M72,"")</f>
        <v>1395901.42642212</v>
      </c>
      <c s="72">
        <f>IF('[1]Leakage Tree Data'!N72&lt;&gt;"",'[1]Leakage Tree Data'!N72,"")</f>
      </c>
      <c s="72">
        <f>IF('[1]Leakage Tree Data'!O72&lt;&gt;"",'[1]Leakage Tree Data'!O72,"")</f>
        <v>17.9204571732659</v>
      </c>
      <c s="72">
        <f>IF('[1]Leakage Tree Data'!P72&lt;&gt;"",'[1]Leakage Tree Data'!P72,"")</f>
        <v>147086.607635371</v>
      </c>
      <c s="72">
        <f>IF('[1]Leakage Tree Data'!Q72&lt;&gt;"",'[1]Leakage Tree Data'!Q72,"")</f>
      </c>
      <c s="72">
        <f>IF('[1]Leakage Tree Data'!R72&lt;&gt;"",'[1]Leakage Tree Data'!R72,"")</f>
        <v>1017625.85098267</v>
      </c>
      <c s="72">
        <f>IF('[1]Leakage Tree Data'!S72&lt;&gt;"",'[1]Leakage Tree Data'!S72,"")</f>
        <v>41235.4440307617</v>
      </c>
      <c s="72">
        <f>IF('[1]Leakage Tree Data'!T72&lt;&gt;"",'[1]Leakage Tree Data'!T72,"")</f>
        <v>0.0247456022519577</v>
      </c>
      <c s="72">
        <f>IF('[1]Leakage Tree Data'!U72&lt;&gt;"",'[1]Leakage Tree Data'!U72,"")</f>
        <v>976390.406951904</v>
      </c>
      <c s="72">
        <f>IF('[1]Leakage Tree Data'!V72&lt;&gt;"",'[1]Leakage Tree Data'!V72,"")</f>
        <v>-0.0247456022519543</v>
      </c>
      <c s="72">
        <f>IF('[1]Leakage Tree Data'!W72&lt;&gt;"",'[1]Leakage Tree Data'!W72,"")</f>
        <v>-1855949.2237854</v>
      </c>
      <c s="72">
        <f>IF('[1]Leakage Tree Data'!X72&lt;&gt;"",'[1]Leakage Tree Data'!X72,"")</f>
      </c>
      <c s="72">
        <f>IF('[1]Leakage Tree Data'!Y72&lt;&gt;"",'[1]Leakage Tree Data'!Y72,"")</f>
        <v>-0.0207428457485861</v>
      </c>
      <c s="72">
        <f>IF('[1]Leakage Tree Data'!Z72&lt;&gt;"",'[1]Leakage Tree Data'!Z72,"")</f>
        <v>9358.24499511719</v>
      </c>
      <c s="72">
        <f>IF('[1]Leakage Tree Data'!AA72&lt;&gt;"",'[1]Leakage Tree Data'!AA72,"")</f>
      </c>
      <c s="72">
        <f>IF('[1]Leakage Tree Data'!AB72&lt;&gt;"",'[1]Leakage Tree Data'!AB72,"")</f>
        <v>-16527.7809753418</v>
      </c>
      <c s="72">
        <f>IF('[1]Leakage Tree Data'!AC72&lt;&gt;"",'[1]Leakage Tree Data'!AC72,"")</f>
      </c>
      <c s="72">
        <f>IF('[1]Leakage Tree Data'!AD72&lt;&gt;"",'[1]Leakage Tree Data'!AD72,"")</f>
        <v>1.17430084585494</v>
      </c>
      <c s="72">
        <f>IF('[1]Leakage Tree Data'!AE72&lt;&gt;"",'[1]Leakage Tree Data'!AE72,"")</f>
      </c>
      <c s="73">
        <f t="shared" si="49"/>
      </c>
      <c s="73">
        <f t="shared" si="50"/>
      </c>
      <c s="73">
        <f t="shared" si="51"/>
      </c>
      <c s="73">
        <f t="shared" si="52"/>
      </c>
      <c s="74">
        <f t="shared" si="53"/>
      </c>
      <c s="74">
        <f t="shared" si="54"/>
      </c>
      <c s="69" t="str">
        <f t="shared" si="0"/>
        <v>Total US - Price Rite</v>
      </c>
      <c s="69" t="str">
        <f t="shared" si="1"/>
        <v>Total US - GroceryX</v>
      </c>
      <c s="77"/>
    </row>
    <row r="174" spans="1:141" ht="15">
      <c r="A17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 t="shared" si="31"/>
      </c>
      <c s="76">
        <f t="shared" si="32"/>
      </c>
      <c s="75">
        <f t="shared" si="33"/>
        <v>15398053.1525726</v>
      </c>
      <c s="76">
        <f t="shared" si="34"/>
        <v>2</v>
      </c>
      <c s="75">
        <f t="shared" si="35"/>
      </c>
      <c s="76">
        <f t="shared" si="36"/>
      </c>
      <c s="75">
        <f t="shared" si="37"/>
      </c>
      <c s="76">
        <f t="shared" si="38"/>
      </c>
      <c s="75">
        <f t="shared" si="29"/>
      </c>
      <c s="76">
        <f t="shared" si="39"/>
      </c>
      <c s="75">
        <f t="shared" si="40"/>
      </c>
      <c s="76">
        <f t="shared" si="41"/>
      </c>
      <c s="75">
        <f t="shared" si="42"/>
        <v>36898890.1630096</v>
      </c>
      <c s="76">
        <f t="shared" si="43"/>
        <v>4</v>
      </c>
      <c s="75">
        <f t="shared" si="44"/>
      </c>
      <c s="76">
        <f t="shared" si="45"/>
      </c>
      <c s="75">
        <f t="shared" si="46"/>
      </c>
      <c s="76">
        <f t="shared" si="47"/>
      </c>
      <c s="75">
        <f t="shared" si="30"/>
      </c>
      <c s="76">
        <f t="shared" si="48"/>
      </c>
      <c s="65" t="str">
        <f t="shared" si="19"/>
        <v>Publix</v>
      </c>
      <c s="65" t="str">
        <f t="shared" si="20"/>
        <v>GroceryX</v>
      </c>
      <c s="72" t="str">
        <f>IF('[1]Leakage Tree Data'!A73&lt;&gt;"",'[1]Leakage Tree Data'!A73,"")</f>
        <v>Total US - Publix</v>
      </c>
      <c s="72" t="str">
        <f>IF('[1]Leakage Tree Data'!B73&lt;&gt;"",'[1]Leakage Tree Data'!B73,"")</f>
        <v>Total US - GroceryX</v>
      </c>
      <c s="72">
        <f>IF('[1]Leakage Tree Data'!C73&lt;&gt;"",'[1]Leakage Tree Data'!C73,"")</f>
        <v>121171760.292236</v>
      </c>
      <c s="72">
        <f>IF('[1]Leakage Tree Data'!D73&lt;&gt;"",'[1]Leakage Tree Data'!D73,"")</f>
        <v>12929791.3328857</v>
      </c>
      <c s="72">
        <f>IF('[1]Leakage Tree Data'!E73&lt;&gt;"",'[1]Leakage Tree Data'!E73,"")</f>
        <v>10.6706309305917</v>
      </c>
      <c s="72">
        <f>IF('[1]Leakage Tree Data'!F73&lt;&gt;"",'[1]Leakage Tree Data'!F73,"")</f>
        <v>108241968.959351</v>
      </c>
      <c s="72">
        <f>IF('[1]Leakage Tree Data'!G73&lt;&gt;"",'[1]Leakage Tree Data'!G73,"")</f>
        <v>89.3293690694083</v>
      </c>
      <c s="72">
        <f>IF('[1]Leakage Tree Data'!H73&lt;&gt;"",'[1]Leakage Tree Data'!H73,"")</f>
        <v>61518209.9918823</v>
      </c>
      <c s="72" t="str">
        <f>IF('[1]Leakage Tree Data'!I73&lt;&gt;"",'[1]Leakage Tree Data'!I73,"")</f>
        <v>GroceryX</v>
      </c>
      <c s="72">
        <f>IF('[1]Leakage Tree Data'!J73&lt;&gt;"",'[1]Leakage Tree Data'!J73,"")</f>
        <v>95.0915679034686</v>
      </c>
      <c s="72">
        <f>IF('[1]Leakage Tree Data'!K73&lt;&gt;"",'[1]Leakage Tree Data'!K73,"")</f>
        <v>3019579.56445313</v>
      </c>
      <c s="72">
        <f>IF('[1]Leakage Tree Data'!L73&lt;&gt;"",'[1]Leakage Tree Data'!L73,"")</f>
        <v>15398053.1525726</v>
      </c>
      <c s="72">
        <f>IF('[1]Leakage Tree Data'!M73&lt;&gt;"",'[1]Leakage Tree Data'!M73,"")</f>
        <v>36898890.1630096</v>
      </c>
      <c s="72">
        <f>IF('[1]Leakage Tree Data'!N73&lt;&gt;"",'[1]Leakage Tree Data'!N73,"")</f>
        <v>15398053.1525726</v>
      </c>
      <c s="72">
        <f>IF('[1]Leakage Tree Data'!O73&lt;&gt;"",'[1]Leakage Tree Data'!O73,"")</f>
        <v>39.2243174892472</v>
      </c>
      <c s="72">
        <f>IF('[1]Leakage Tree Data'!P73&lt;&gt;"",'[1]Leakage Tree Data'!P73,"")</f>
        <v>3206919.90371588</v>
      </c>
      <c s="72">
        <f>IF('[1]Leakage Tree Data'!Q73&lt;&gt;"",'[1]Leakage Tree Data'!Q73,"")</f>
      </c>
      <c s="72">
        <f>IF('[1]Leakage Tree Data'!R73&lt;&gt;"",'[1]Leakage Tree Data'!R73,"")</f>
        <v>1017625.85098267</v>
      </c>
      <c s="72">
        <f>IF('[1]Leakage Tree Data'!S73&lt;&gt;"",'[1]Leakage Tree Data'!S73,"")</f>
        <v>294026.784301758</v>
      </c>
      <c s="72">
        <f>IF('[1]Leakage Tree Data'!T73&lt;&gt;"",'[1]Leakage Tree Data'!T73,"")</f>
        <v>0.15433483529422</v>
      </c>
      <c s="72">
        <f>IF('[1]Leakage Tree Data'!U73&lt;&gt;"",'[1]Leakage Tree Data'!U73,"")</f>
        <v>723599.066680908</v>
      </c>
      <c s="72">
        <f>IF('[1]Leakage Tree Data'!V73&lt;&gt;"",'[1]Leakage Tree Data'!V73,"")</f>
        <v>-0.154334835294222</v>
      </c>
      <c s="72">
        <f>IF('[1]Leakage Tree Data'!W73&lt;&gt;"",'[1]Leakage Tree Data'!W73,"")</f>
        <v>-1855949.2237854</v>
      </c>
      <c s="72">
        <f>IF('[1]Leakage Tree Data'!X73&lt;&gt;"",'[1]Leakage Tree Data'!X73,"")</f>
      </c>
      <c s="72">
        <f>IF('[1]Leakage Tree Data'!Y73&lt;&gt;"",'[1]Leakage Tree Data'!Y73,"")</f>
        <v>0.226861907030994</v>
      </c>
      <c s="72">
        <f>IF('[1]Leakage Tree Data'!Z73&lt;&gt;"",'[1]Leakage Tree Data'!Z73,"")</f>
        <v>-234869.833557129</v>
      </c>
      <c s="72">
        <f>IF('[1]Leakage Tree Data'!AA73&lt;&gt;"",'[1]Leakage Tree Data'!AA73,"")</f>
        <v>-2606138.7497406</v>
      </c>
      <c s="72">
        <f>IF('[1]Leakage Tree Data'!AB73&lt;&gt;"",'[1]Leakage Tree Data'!AB73,"")</f>
        <v>-9306202.35374069</v>
      </c>
      <c s="72">
        <f>IF('[1]Leakage Tree Data'!AC73&lt;&gt;"",'[1]Leakage Tree Data'!AC73,"")</f>
        <v>-2606138.7497406</v>
      </c>
      <c s="72">
        <f>IF('[1]Leakage Tree Data'!AD73&lt;&gt;"",'[1]Leakage Tree Data'!AD73,"")</f>
        <v>-2.50588499336138</v>
      </c>
      <c s="72">
        <f>IF('[1]Leakage Tree Data'!AE73&lt;&gt;"",'[1]Leakage Tree Data'!AE73,"")</f>
      </c>
      <c s="73">
        <f t="shared" si="49"/>
      </c>
      <c s="73">
        <f t="shared" si="50"/>
      </c>
      <c s="73">
        <f t="shared" si="51"/>
      </c>
      <c s="73">
        <f t="shared" si="52"/>
      </c>
      <c s="74">
        <f t="shared" si="53"/>
      </c>
      <c s="74">
        <f t="shared" si="54"/>
      </c>
      <c s="69" t="str">
        <f t="shared" si="0"/>
        <v>Total US - Publix</v>
      </c>
      <c s="69" t="str">
        <f t="shared" si="1"/>
        <v>Total US - GroceryX</v>
      </c>
      <c s="77"/>
    </row>
    <row r="175" spans="1:141" ht="15">
      <c r="A17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 t="shared" si="31"/>
      </c>
      <c s="76">
        <f t="shared" si="32"/>
      </c>
      <c s="75">
        <f t="shared" si="33"/>
      </c>
      <c s="76">
        <f t="shared" si="34"/>
      </c>
      <c s="75">
        <f t="shared" si="35"/>
      </c>
      <c s="76">
        <f t="shared" si="36"/>
      </c>
      <c s="75">
        <f t="shared" si="37"/>
      </c>
      <c s="76">
        <f t="shared" si="38"/>
      </c>
      <c s="75">
        <f t="shared" si="29"/>
      </c>
      <c s="76">
        <f t="shared" si="39"/>
      </c>
      <c s="75">
        <f t="shared" si="40"/>
      </c>
      <c s="76">
        <f t="shared" si="41"/>
      </c>
      <c s="75">
        <f t="shared" si="42"/>
      </c>
      <c s="76">
        <f t="shared" si="43"/>
      </c>
      <c s="75">
        <f t="shared" si="44"/>
      </c>
      <c s="76">
        <f t="shared" si="45"/>
      </c>
      <c s="75">
        <f t="shared" si="46"/>
      </c>
      <c s="76">
        <f t="shared" si="47"/>
      </c>
      <c s="75">
        <f t="shared" si="30"/>
      </c>
      <c s="76">
        <f t="shared" si="48"/>
      </c>
      <c s="65" t="str">
        <f t="shared" si="19"/>
        <v>Rainbow</v>
      </c>
      <c s="65" t="str">
        <f t="shared" si="20"/>
        <v>GroceryX</v>
      </c>
      <c s="72" t="str">
        <f>IF('[1]Leakage Tree Data'!A74&lt;&gt;"",'[1]Leakage Tree Data'!A74,"")</f>
        <v>Total US - Rainbow</v>
      </c>
      <c s="72" t="str">
        <f>IF('[1]Leakage Tree Data'!B74&lt;&gt;"",'[1]Leakage Tree Data'!B74,"")</f>
        <v>Total US - GroceryX</v>
      </c>
      <c s="72">
        <f>IF('[1]Leakage Tree Data'!C74&lt;&gt;"",'[1]Leakage Tree Data'!C74,"")</f>
        <v>121171760.292236</v>
      </c>
      <c s="72">
        <f>IF('[1]Leakage Tree Data'!D74&lt;&gt;"",'[1]Leakage Tree Data'!D74,"")</f>
      </c>
      <c s="72">
        <f>IF('[1]Leakage Tree Data'!E74&lt;&gt;"",'[1]Leakage Tree Data'!E74,"")</f>
      </c>
      <c s="72">
        <f>IF('[1]Leakage Tree Data'!F74&lt;&gt;"",'[1]Leakage Tree Data'!F74,"")</f>
      </c>
      <c s="72">
        <f>IF('[1]Leakage Tree Data'!G74&lt;&gt;"",'[1]Leakage Tree Data'!G74,"")</f>
      </c>
      <c s="72">
        <f>IF('[1]Leakage Tree Data'!H74&lt;&gt;"",'[1]Leakage Tree Data'!H74,"")</f>
        <v>61518209.9918823</v>
      </c>
      <c s="72" t="str">
        <f>IF('[1]Leakage Tree Data'!I74&lt;&gt;"",'[1]Leakage Tree Data'!I74,"")</f>
        <v>GroceryX</v>
      </c>
      <c s="72">
        <f>IF('[1]Leakage Tree Data'!J74&lt;&gt;"",'[1]Leakage Tree Data'!J74,"")</f>
      </c>
      <c s="72">
        <f>IF('[1]Leakage Tree Data'!K74&lt;&gt;"",'[1]Leakage Tree Data'!K74,"")</f>
      </c>
      <c s="72">
        <f>IF('[1]Leakage Tree Data'!L74&lt;&gt;"",'[1]Leakage Tree Data'!L74,"")</f>
      </c>
      <c s="72">
        <f>IF('[1]Leakage Tree Data'!M74&lt;&gt;"",'[1]Leakage Tree Data'!M74,"")</f>
      </c>
      <c s="72">
        <f>IF('[1]Leakage Tree Data'!N74&lt;&gt;"",'[1]Leakage Tree Data'!N74,"")</f>
      </c>
      <c s="72">
        <f>IF('[1]Leakage Tree Data'!O74&lt;&gt;"",'[1]Leakage Tree Data'!O74,"")</f>
      </c>
      <c s="72">
        <f>IF('[1]Leakage Tree Data'!P74&lt;&gt;"",'[1]Leakage Tree Data'!P74,"")</f>
      </c>
      <c s="72">
        <f>IF('[1]Leakage Tree Data'!Q74&lt;&gt;"",'[1]Leakage Tree Data'!Q74,"")</f>
      </c>
      <c s="72">
        <f>IF('[1]Leakage Tree Data'!R74&lt;&gt;"",'[1]Leakage Tree Data'!R74,"")</f>
        <v>1017625.85098267</v>
      </c>
      <c s="72">
        <f>IF('[1]Leakage Tree Data'!S74&lt;&gt;"",'[1]Leakage Tree Data'!S74,"")</f>
      </c>
      <c s="72">
        <f>IF('[1]Leakage Tree Data'!T74&lt;&gt;"",'[1]Leakage Tree Data'!T74,"")</f>
      </c>
      <c s="72">
        <f>IF('[1]Leakage Tree Data'!U74&lt;&gt;"",'[1]Leakage Tree Data'!U74,"")</f>
      </c>
      <c s="72">
        <f>IF('[1]Leakage Tree Data'!V74&lt;&gt;"",'[1]Leakage Tree Data'!V74,"")</f>
      </c>
      <c s="72">
        <f>IF('[1]Leakage Tree Data'!W74&lt;&gt;"",'[1]Leakage Tree Data'!W74,"")</f>
        <v>-1855949.2237854</v>
      </c>
      <c s="72">
        <f>IF('[1]Leakage Tree Data'!X74&lt;&gt;"",'[1]Leakage Tree Data'!X74,"")</f>
      </c>
      <c s="72">
        <f>IF('[1]Leakage Tree Data'!Y74&lt;&gt;"",'[1]Leakage Tree Data'!Y74,"")</f>
      </c>
      <c s="72">
        <f>IF('[1]Leakage Tree Data'!Z74&lt;&gt;"",'[1]Leakage Tree Data'!Z74,"")</f>
      </c>
      <c s="72">
        <f>IF('[1]Leakage Tree Data'!AA74&lt;&gt;"",'[1]Leakage Tree Data'!AA74,"")</f>
      </c>
      <c s="72">
        <f>IF('[1]Leakage Tree Data'!AB74&lt;&gt;"",'[1]Leakage Tree Data'!AB74,"")</f>
      </c>
      <c s="72">
        <f>IF('[1]Leakage Tree Data'!AC74&lt;&gt;"",'[1]Leakage Tree Data'!AC74,"")</f>
      </c>
      <c s="72">
        <f>IF('[1]Leakage Tree Data'!AD74&lt;&gt;"",'[1]Leakage Tree Data'!AD74,"")</f>
      </c>
      <c s="72">
        <f>IF('[1]Leakage Tree Data'!AE74&lt;&gt;"",'[1]Leakage Tree Data'!AE74,"")</f>
      </c>
      <c s="73">
        <f t="shared" si="49"/>
      </c>
      <c s="73">
        <f t="shared" si="50"/>
      </c>
      <c s="73">
        <f t="shared" si="51"/>
      </c>
      <c s="73">
        <f t="shared" si="52"/>
      </c>
      <c s="74">
        <f t="shared" si="53"/>
      </c>
      <c s="74">
        <f t="shared" si="54"/>
      </c>
      <c s="69" t="str">
        <f t="shared" si="0"/>
        <v>Total US - Rainbow</v>
      </c>
      <c s="69" t="str">
        <f t="shared" si="1"/>
        <v>Total US - GroceryX</v>
      </c>
      <c s="77"/>
    </row>
    <row r="176" spans="1:141" ht="15">
      <c r="A17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 t="shared" si="31"/>
      </c>
      <c s="76">
        <f t="shared" si="32"/>
      </c>
      <c s="75">
        <f t="shared" si="33"/>
      </c>
      <c s="76">
        <f t="shared" si="34"/>
      </c>
      <c s="75">
        <f t="shared" si="35"/>
      </c>
      <c s="76">
        <f t="shared" si="36"/>
      </c>
      <c s="75">
        <f t="shared" si="37"/>
      </c>
      <c s="76">
        <f t="shared" si="38"/>
      </c>
      <c s="75">
        <f t="shared" si="29"/>
      </c>
      <c s="76">
        <f t="shared" si="39"/>
      </c>
      <c s="75">
        <f t="shared" si="40"/>
      </c>
      <c s="76">
        <f t="shared" si="41"/>
      </c>
      <c s="75">
        <f t="shared" si="42"/>
        <v>1266341.81838989</v>
      </c>
      <c s="76">
        <f t="shared" si="43"/>
        <v>50</v>
      </c>
      <c s="75">
        <f t="shared" si="44"/>
      </c>
      <c s="76">
        <f t="shared" si="45"/>
      </c>
      <c s="75">
        <f t="shared" si="46"/>
      </c>
      <c s="76">
        <f t="shared" si="47"/>
      </c>
      <c s="75">
        <f t="shared" si="30"/>
      </c>
      <c s="76">
        <f t="shared" si="48"/>
      </c>
      <c s="65" t="str">
        <f t="shared" si="19"/>
        <v>Raleys</v>
      </c>
      <c s="65" t="str">
        <f t="shared" si="20"/>
        <v>GroceryX</v>
      </c>
      <c s="72" t="str">
        <f>IF('[1]Leakage Tree Data'!A75&lt;&gt;"",'[1]Leakage Tree Data'!A75,"")</f>
        <v>Total US - Raleys</v>
      </c>
      <c s="72" t="str">
        <f>IF('[1]Leakage Tree Data'!B75&lt;&gt;"",'[1]Leakage Tree Data'!B75,"")</f>
        <v>Total US - GroceryX</v>
      </c>
      <c s="72">
        <f>IF('[1]Leakage Tree Data'!C75&lt;&gt;"",'[1]Leakage Tree Data'!C75,"")</f>
        <v>121171760.292236</v>
      </c>
      <c s="72">
        <f>IF('[1]Leakage Tree Data'!D75&lt;&gt;"",'[1]Leakage Tree Data'!D75,"")</f>
        <v>1491139.29217529</v>
      </c>
      <c s="72">
        <f>IF('[1]Leakage Tree Data'!E75&lt;&gt;"",'[1]Leakage Tree Data'!E75,"")</f>
        <v>1.23059967815854</v>
      </c>
      <c s="72">
        <f>IF('[1]Leakage Tree Data'!F75&lt;&gt;"",'[1]Leakage Tree Data'!F75,"")</f>
        <v>119680621.000061</v>
      </c>
      <c s="72">
        <f>IF('[1]Leakage Tree Data'!G75&lt;&gt;"",'[1]Leakage Tree Data'!G75,"")</f>
        <v>98.7694003218415</v>
      </c>
      <c s="72">
        <f>IF('[1]Leakage Tree Data'!H75&lt;&gt;"",'[1]Leakage Tree Data'!H75,"")</f>
        <v>61518209.9918823</v>
      </c>
      <c s="72" t="str">
        <f>IF('[1]Leakage Tree Data'!I75&lt;&gt;"",'[1]Leakage Tree Data'!I75,"")</f>
        <v>GroceryX</v>
      </c>
      <c s="72">
        <f>IF('[1]Leakage Tree Data'!J75&lt;&gt;"",'[1]Leakage Tree Data'!J75,"")</f>
        <v>99.7619196730326</v>
      </c>
      <c s="72">
        <f>IF('[1]Leakage Tree Data'!K75&lt;&gt;"",'[1]Leakage Tree Data'!K75,"")</f>
        <v>146462.755493164</v>
      </c>
      <c s="72">
        <f>IF('[1]Leakage Tree Data'!L75&lt;&gt;"",'[1]Leakage Tree Data'!L75,"")</f>
      </c>
      <c s="72">
        <f>IF('[1]Leakage Tree Data'!M75&lt;&gt;"",'[1]Leakage Tree Data'!M75,"")</f>
        <v>1266341.81838989</v>
      </c>
      <c s="72">
        <f>IF('[1]Leakage Tree Data'!N75&lt;&gt;"",'[1]Leakage Tree Data'!N75,"")</f>
      </c>
      <c s="72">
        <f>IF('[1]Leakage Tree Data'!O75&lt;&gt;"",'[1]Leakage Tree Data'!O75,"")</f>
        <v>15.189573504062</v>
      </c>
      <c s="72">
        <f>IF('[1]Leakage Tree Data'!P75&lt;&gt;"",'[1]Leakage Tree Data'!P75,"")</f>
        <v>266697.084486387</v>
      </c>
      <c s="72">
        <f>IF('[1]Leakage Tree Data'!Q75&lt;&gt;"",'[1]Leakage Tree Data'!Q75,"")</f>
      </c>
      <c s="72">
        <f>IF('[1]Leakage Tree Data'!R75&lt;&gt;"",'[1]Leakage Tree Data'!R75,"")</f>
        <v>1017625.85098267</v>
      </c>
      <c s="72">
        <f>IF('[1]Leakage Tree Data'!S75&lt;&gt;"",'[1]Leakage Tree Data'!S75,"")</f>
        <v>-6341.3440246582</v>
      </c>
      <c s="72">
        <f>IF('[1]Leakage Tree Data'!T75&lt;&gt;"",'[1]Leakage Tree Data'!T75,"")</f>
        <v>-0.0157000377551986</v>
      </c>
      <c s="72">
        <f>IF('[1]Leakage Tree Data'!U75&lt;&gt;"",'[1]Leakage Tree Data'!U75,"")</f>
        <v>1023967.19500732</v>
      </c>
      <c s="72">
        <f>IF('[1]Leakage Tree Data'!V75&lt;&gt;"",'[1]Leakage Tree Data'!V75,"")</f>
        <v>0.0157000377551952</v>
      </c>
      <c s="72">
        <f>IF('[1]Leakage Tree Data'!W75&lt;&gt;"",'[1]Leakage Tree Data'!W75,"")</f>
        <v>-1855949.2237854</v>
      </c>
      <c s="72">
        <f>IF('[1]Leakage Tree Data'!X75&lt;&gt;"",'[1]Leakage Tree Data'!X75,"")</f>
      </c>
      <c s="72">
        <f>IF('[1]Leakage Tree Data'!Y75&lt;&gt;"",'[1]Leakage Tree Data'!Y75,"")</f>
        <v>-0.0134825003223966</v>
      </c>
      <c s="72">
        <f>IF('[1]Leakage Tree Data'!Z75&lt;&gt;"",'[1]Leakage Tree Data'!Z75,"")</f>
        <v>4125.77124023438</v>
      </c>
      <c s="72">
        <f>IF('[1]Leakage Tree Data'!AA75&lt;&gt;"",'[1]Leakage Tree Data'!AA75,"")</f>
      </c>
      <c s="72">
        <f>IF('[1]Leakage Tree Data'!AB75&lt;&gt;"",'[1]Leakage Tree Data'!AB75,"")</f>
        <v>352200.748886108</v>
      </c>
      <c s="72">
        <f>IF('[1]Leakage Tree Data'!AC75&lt;&gt;"",'[1]Leakage Tree Data'!AC75,"")</f>
      </c>
      <c s="72">
        <f>IF('[1]Leakage Tree Data'!AD75&lt;&gt;"",'[1]Leakage Tree Data'!AD75,"")</f>
        <v>0.0108066738741712</v>
      </c>
      <c s="72">
        <f>IF('[1]Leakage Tree Data'!AE75&lt;&gt;"",'[1]Leakage Tree Data'!AE75,"")</f>
      </c>
      <c s="73">
        <f t="shared" si="49"/>
      </c>
      <c s="73">
        <f t="shared" si="50"/>
      </c>
      <c s="73">
        <f t="shared" si="51"/>
      </c>
      <c s="73">
        <f t="shared" si="52"/>
      </c>
      <c s="74">
        <f t="shared" si="53"/>
      </c>
      <c s="74">
        <f t="shared" si="54"/>
      </c>
      <c s="69" t="str">
        <f t="shared" ref="EI176:EI239" si="55">IF(CX176&lt;&gt;"",IF(CW$102&lt;&gt;"Y",IF(ISERROR(FIND(" - ",CX176))=FALSE,CX176,SUBSTITUTE(CX176,"-"," - ")),CX176),"")</f>
        <v>Total US - Raleys</v>
      </c>
      <c s="69" t="str">
        <f t="shared" ref="EJ176:EJ239" si="56">IF(CX176&lt;&gt;"",IF(CW$102&lt;&gt;"Y",IF(ISERROR(FIND(" - ",CY176))=FALSE,CY176,SUBSTITUTE(CY176,"-"," - ")),CY176),"")</f>
        <v>Total US - GroceryX</v>
      </c>
      <c s="77"/>
    </row>
    <row r="177" spans="1:141" ht="15">
      <c r="A17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 t="shared" ref="CB177:CB208" si="57">IF(ISERROR(VLOOKUP(CV177,$AL$8:$AL$14,1,FALSE))=TRUE,IF(AND(CV177=CW177,CV177&lt;&gt;"",DI$111&lt;&gt;"",DK177&lt;&gt;""),IF(CW$101="Y",DK177-IF(ISERROR(VLOOKUP(CV177,$CA$113:$DK$300,37,FALSE))=TRUE,0,IF(VLOOKUP(CV177,$CA$113:$DK$300,37,FALSE)="",0,VLOOKUP(CV177,$CA$113:$DK$300,37,FALSE))),DK177-IF(AND(CW$102="Y",CV177=$CW$111),DI$111,0)),""),"")</f>
      </c>
      <c s="76">
        <f t="shared" ref="CC177:CC208" si="58">IF(ISERROR(VLOOKUP(CV177,$AL$8:$AL$14,1,FALSE))=TRUE,IF(CB177&lt;&gt;"",IF(CB177&gt;0,IF(Z$4&lt;&gt;"",MIN(4,RANK(CB177,$CB$111:$CB$300)),RANK(CB177,$CB$111:$CB$300)),""),""),"")</f>
      </c>
      <c s="75">
        <f t="shared" ref="CD177:CD209" si="59">IF(ISERROR(VLOOKUP(CV177,$AL$8:$AL$14,1,FALSE))=TRUE,IF(AND(ISERROR(FIND("NeighMkt",$CX$102))=FALSE,LEFT($CW$111,10)="ALL OUTLET",$CA177&lt;&gt;"",DK177&lt;&gt;""),"",IF(AND($CV177&lt;&gt;$CW177,$CW177=CD$110),$DK177,"")),"")</f>
        <v>4003775.508255</v>
      </c>
      <c s="76">
        <f t="shared" ref="CE177:CE208" si="60">IF(ISERROR(VLOOKUP(CV177,$AL$8:$AL$14,1,FALSE))=TRUE,IF(CD177&lt;&gt;"",IF(CD177&gt;0,RANK(CD177,$CD$111:$CD$300),""),""),"")</f>
        <v>9</v>
      </c>
      <c s="75">
        <f t="shared" ref="CF177:CF209" si="61">IF(ISERROR(VLOOKUP(CV177,$AL$8:$AL$14,1,FALSE))=TRUE,IF(AND(ISERROR(FIND("NeighMkt",$CX$102))=FALSE,LEFT($CW$111,10)="ALL OUTLET",$CA177&lt;&gt;"",DK177&lt;&gt;""),"",IF(AND($CV177&lt;&gt;$CW177,$CW177=CF$110),$DK177,"")),"")</f>
      </c>
      <c s="76">
        <f t="shared" ref="CG177:CG208" si="62">IF(ISERROR(VLOOKUP(CV177,$AL$8:$AL$14,1,FALSE))=TRUE,IF(CF177&lt;&gt;"",IF(CF177&gt;0,RANK(CF177,$CF$111:$CF$300),""),""),"")</f>
      </c>
      <c s="75">
        <f t="shared" ref="CH177:CH209" si="63">IF(ISERROR(VLOOKUP(CV177,$AL$8:$AL$14,1,FALSE))=TRUE,IF(AND(ISERROR(FIND("NeighMkt",$CX$102))=FALSE,LEFT($CW$111,10)="ALL OUTLET",$CA177&lt;&gt;"",DK177&lt;&gt;""),"",IF(AND($CV177&lt;&gt;$CW177,$CW177=CH$110),$DK177,"")),"")</f>
      </c>
      <c s="76">
        <f t="shared" ref="CI177:CI208" si="64">IF(ISERROR(VLOOKUP(CV177,$AL$8:$AL$14,1,FALSE))=TRUE,IF(CH177&lt;&gt;"",IF(CH177&gt;0,RANK(CH177,$CH$111:$CH$300),""),""),"")</f>
      </c>
      <c s="75">
        <f t="shared" si="29"/>
      </c>
      <c s="76">
        <f t="shared" ref="CK177:CK208" si="65">IF(ISERROR(VLOOKUP(CV177,$AL$8:$AL$14,1,FALSE))=TRUE,IF(CJ177&lt;&gt;"",IF(CJ177&gt;0,RANK(CJ177,$CJ$111:$CJ$300),""),""),"")</f>
      </c>
      <c s="75">
        <f t="shared" ref="CL177:CL208" si="66">IF(ISERROR(VLOOKUP(CV177,$AL$8:$AL$14,1,FALSE))=TRUE,IF(AND(CV177=CW177,CV177&lt;&gt;"",DJ177&lt;&gt;""),IF(AND(ISERROR(FIND("NeighMkt",$CX$102))=FALSE,LEFT($CW$111,10)="ALL OUTLET"),DJ177-IF(ISERROR(VLOOKUP(CV177,$CA$113:$DK$300,36,FALSE))=TRUE,0,IF(VLOOKUP(CV177,$CA$113:$DK$300,36,FALSE)="",0,VLOOKUP(CV177,$CA$113:$DK$300,36,FALSE))),DJ177),""),"")</f>
      </c>
      <c s="76">
        <f t="shared" ref="CM177:CM208" si="67">IF(ISERROR(VLOOKUP(CV177,$AL$8:$AL$14,1,FALSE))=TRUE,IF(CL177&lt;&gt;"",IF(CL177&gt;0,IF($Z$4&lt;&gt;"",MIN(4,RANK(CL177,$CL$111:$CL$300)),RANK(CL177,$CL$111:$CL$300)),""),""),"")</f>
      </c>
      <c s="75">
        <f t="shared" ref="CN177:CN209" si="68">IF(ISERROR(VLOOKUP(CV177,$AL$8:$AL$14,1,FALSE))=TRUE,IF(AND(ISERROR(FIND("NeighMkt",$CX$102))=FALSE,LEFT($CW$111,10)="ALL OUTLET",$CA177&lt;&gt;"",DJ177&lt;&gt;""),"",IF(AND($CV177&lt;&gt;$CW177,$CW177=CN$110),$DJ177,"")),"")</f>
        <v>6372138.0894928</v>
      </c>
      <c s="76">
        <f t="shared" ref="CO177:CO208" si="69">IF(ISERROR(VLOOKUP(CV177,$AL$8:$AL$14,1,FALSE))=TRUE,IF(CN177&lt;&gt;"",IF(CN177&gt;0,RANK(CN177,$CN$111:$CN$300),""),""),"")</f>
        <v>24</v>
      </c>
      <c s="75">
        <f t="shared" ref="CP177:CP209" si="70">IF(ISERROR(VLOOKUP(CV177,$AL$8:$AL$14,1,FALSE))=TRUE,IF(AND(ISERROR(FIND("NeighMkt",$CX$102))=FALSE,LEFT($CW$111,10)="ALL OUTLET",$CA177&lt;&gt;"",DJ177&lt;&gt;""),"",IF(AND($CV177&lt;&gt;$CW177,$CW177=CP$110),$DJ177,"")),"")</f>
      </c>
      <c s="76">
        <f t="shared" ref="CQ177:CQ208" si="71">IF(ISERROR(VLOOKUP(CV177,$AL$8:$AL$14,1,FALSE))=TRUE,IF(CP177&lt;&gt;"",IF(CP177&gt;0,RANK(CP177,$CP$111:$CP$300),""),""),"")</f>
      </c>
      <c s="75">
        <f t="shared" ref="CR177:CR209" si="72">IF(ISERROR(VLOOKUP(CV177,$AL$8:$AL$14,1,FALSE))=TRUE,IF(AND(ISERROR(FIND("NeighMkt",$CX$102))=FALSE,LEFT($CW$111,10)="ALL OUTLET",$CA177&lt;&gt;"",DJ177&lt;&gt;""),"",IF(AND($CV177&lt;&gt;$CW177,$CW177=CR$110),$DJ177,"")),"")</f>
      </c>
      <c s="76">
        <f t="shared" ref="CS177:CS208" si="73">IF(ISERROR(VLOOKUP(CV177,$AL$8:$AL$14,1,FALSE))=TRUE,IF(CR177&lt;&gt;"",IF(CR177&gt;0,RANK(CR177,$CR$111:$CR$300),""),""),"")</f>
      </c>
      <c s="75">
        <f t="shared" si="30"/>
      </c>
      <c s="76">
        <f t="shared" ref="CU177:CU208" si="74">IF(ISERROR(VLOOKUP(CV177,$AL$8:$AL$14,1,FALSE))=TRUE,IF(CT177&lt;&gt;"",IF(CT177&gt;0,RANK(CT177,$CT$111:$CT$300),""),""),"")</f>
      </c>
      <c s="65" t="str">
        <f t="shared" ref="CV177:CV240" si="75">IF(ISERROR(RIGHT(EI177,LEN(EI177)-IF(ISERROR(FIND(" - ",SUBSTITUTE(EI177," - ","^^^",1)))=FALSE,FIND(" - ",SUBSTITUTE(EI177," - ","^^^",1)),FIND(" - ",EI177))-3+1))=FALSE,RIGHT(EI177,LEN(EI177)-IF(ISERROR(FIND(" - ",SUBSTITUTE(EI177," - ","^^^",1)))=FALSE,FIND(" - ",SUBSTITUTE(EI177," - ","^^^",1)),FIND(" - ",EI177))-3+1),"")</f>
        <v>Ralphs</v>
      </c>
      <c s="65" t="str">
        <f t="shared" ref="CW177:CW240" si="76">IF(EJ177&lt;&gt;"",RIGHT(EJ177,LEN(EJ177)-IF(ISERROR(FIND(" - ",SUBSTITUTE(EJ177," - ","^^^",1)))=FALSE,FIND(" - ",SUBSTITUTE(EJ177," - ","^^^",1)),FIND(" - ",EJ177))-3+1),"")</f>
        <v>GroceryX</v>
      </c>
      <c s="72" t="str">
        <f>IF('[1]Leakage Tree Data'!A76&lt;&gt;"",'[1]Leakage Tree Data'!A76,"")</f>
        <v>Total US - Ralphs</v>
      </c>
      <c s="72" t="str">
        <f>IF('[1]Leakage Tree Data'!B76&lt;&gt;"",'[1]Leakage Tree Data'!B76,"")</f>
        <v>Total US - GroceryX</v>
      </c>
      <c s="72">
        <f>IF('[1]Leakage Tree Data'!C76&lt;&gt;"",'[1]Leakage Tree Data'!C76,"")</f>
        <v>121171760.292236</v>
      </c>
      <c s="72">
        <f>IF('[1]Leakage Tree Data'!D76&lt;&gt;"",'[1]Leakage Tree Data'!D76,"")</f>
        <v>3928544.53900146</v>
      </c>
      <c s="72">
        <f>IF('[1]Leakage Tree Data'!E76&lt;&gt;"",'[1]Leakage Tree Data'!E76,"")</f>
        <v>3.24212880090773</v>
      </c>
      <c s="72">
        <f>IF('[1]Leakage Tree Data'!F76&lt;&gt;"",'[1]Leakage Tree Data'!F76,"")</f>
        <v>117243215.753235</v>
      </c>
      <c s="72">
        <f>IF('[1]Leakage Tree Data'!G76&lt;&gt;"",'[1]Leakage Tree Data'!G76,"")</f>
        <v>96.7578711990923</v>
      </c>
      <c s="72">
        <f>IF('[1]Leakage Tree Data'!H76&lt;&gt;"",'[1]Leakage Tree Data'!H76,"")</f>
        <v>61518209.9918823</v>
      </c>
      <c s="72" t="str">
        <f>IF('[1]Leakage Tree Data'!I76&lt;&gt;"",'[1]Leakage Tree Data'!I76,"")</f>
        <v>GroceryX</v>
      </c>
      <c s="72">
        <f>IF('[1]Leakage Tree Data'!J76&lt;&gt;"",'[1]Leakage Tree Data'!J76,"")</f>
        <v>98.7917472734951</v>
      </c>
      <c s="72">
        <f>IF('[1]Leakage Tree Data'!K76&lt;&gt;"",'[1]Leakage Tree Data'!K76,"")</f>
        <v>743295.449523926</v>
      </c>
      <c s="72">
        <f>IF('[1]Leakage Tree Data'!L76&lt;&gt;"",'[1]Leakage Tree Data'!L76,"")</f>
        <v>4003775.508255</v>
      </c>
      <c s="72">
        <f>IF('[1]Leakage Tree Data'!M76&lt;&gt;"",'[1]Leakage Tree Data'!M76,"")</f>
        <v>6372138.0894928</v>
      </c>
      <c s="72">
        <f>IF('[1]Leakage Tree Data'!N76&lt;&gt;"",'[1]Leakage Tree Data'!N76,"")</f>
        <v>4003775.508255</v>
      </c>
      <c s="72">
        <f>IF('[1]Leakage Tree Data'!O76&lt;&gt;"",'[1]Leakage Tree Data'!O76,"")</f>
        <v>28.9587895382533</v>
      </c>
      <c s="72">
        <f>IF('[1]Leakage Tree Data'!P76&lt;&gt;"",'[1]Leakage Tree Data'!P76,"")</f>
        <v>721924.660134586</v>
      </c>
      <c s="72">
        <f>IF('[1]Leakage Tree Data'!Q76&lt;&gt;"",'[1]Leakage Tree Data'!Q76,"")</f>
      </c>
      <c s="72">
        <f>IF('[1]Leakage Tree Data'!R76&lt;&gt;"",'[1]Leakage Tree Data'!R76,"")</f>
        <v>1017625.85098267</v>
      </c>
      <c s="72">
        <f>IF('[1]Leakage Tree Data'!S76&lt;&gt;"",'[1]Leakage Tree Data'!S76,"")</f>
        <v>47577.5570068359</v>
      </c>
      <c s="72">
        <f>IF('[1]Leakage Tree Data'!T76&lt;&gt;"",'[1]Leakage Tree Data'!T76,"")</f>
        <v>0.012138422264425</v>
      </c>
      <c s="72">
        <f>IF('[1]Leakage Tree Data'!U76&lt;&gt;"",'[1]Leakage Tree Data'!U76,"")</f>
        <v>970048.29397583</v>
      </c>
      <c s="72">
        <f>IF('[1]Leakage Tree Data'!V76&lt;&gt;"",'[1]Leakage Tree Data'!V76,"")</f>
        <v>-0.0121384222644281</v>
      </c>
      <c s="72">
        <f>IF('[1]Leakage Tree Data'!W76&lt;&gt;"",'[1]Leakage Tree Data'!W76,"")</f>
        <v>-1855949.2237854</v>
      </c>
      <c s="72">
        <f>IF('[1]Leakage Tree Data'!X76&lt;&gt;"",'[1]Leakage Tree Data'!X76,"")</f>
      </c>
      <c s="72">
        <f>IF('[1]Leakage Tree Data'!Y76&lt;&gt;"",'[1]Leakage Tree Data'!Y76,"")</f>
        <v>0.123813513959917</v>
      </c>
      <c s="72">
        <f>IF('[1]Leakage Tree Data'!Z76&lt;&gt;"",'[1]Leakage Tree Data'!Z76,"")</f>
        <v>-100890.330566406</v>
      </c>
      <c s="72">
        <f>IF('[1]Leakage Tree Data'!AA76&lt;&gt;"",'[1]Leakage Tree Data'!AA76,"")</f>
        <v>-696148.36088562</v>
      </c>
      <c s="72">
        <f>IF('[1]Leakage Tree Data'!AB76&lt;&gt;"",'[1]Leakage Tree Data'!AB76,"")</f>
        <v>-590344.283126831</v>
      </c>
      <c s="72">
        <f>IF('[1]Leakage Tree Data'!AC76&lt;&gt;"",'[1]Leakage Tree Data'!AC76,"")</f>
        <v>-696148.36088562</v>
      </c>
      <c s="72">
        <f>IF('[1]Leakage Tree Data'!AD76&lt;&gt;"",'[1]Leakage Tree Data'!AD76,"")</f>
        <v>-0.375602239569162</v>
      </c>
      <c s="72">
        <f>IF('[1]Leakage Tree Data'!AE76&lt;&gt;"",'[1]Leakage Tree Data'!AE76,"")</f>
      </c>
      <c s="73">
        <f t="shared" ref="EC177:EC208" si="77">IF(AND(CV177=CW177,CV177&lt;&gt;"",DJ177&lt;&gt;""),IF(AND(ISERROR(FIND("NeighMkt",$CX$102))=FALSE,LEFT($CW$111,10)="ALL OUTLET"),DJ177-IF(ISERROR(VLOOKUP(CV177,$CA$113:$DK$300,36,FALSE))=TRUE,0,IF(VLOOKUP(CV177,$CA$113:$DK$300,36,FALSE)="",0,VLOOKUP(CV177,$CA$113:$DK$300,36,FALSE))),DJ177),"")</f>
      </c>
      <c s="73">
        <f t="shared" ref="ED177:ED208" si="78">IF(AND(CV177=CW177,CV177&lt;&gt;"",DI$111&lt;&gt;"",DK177&lt;&gt;""),IF(CW$101="Y",DK177-IF(ISERROR(VLOOKUP(CV177,$CA$113:$DK$300,37,FALSE))=TRUE,0,IF(VLOOKUP(CV177,$CA$113:$DK$300,37,FALSE)="",0,VLOOKUP(CV177,$CA$113:$DK$300,37,FALSE))),DK177-IF(AND(CW$102="Y",CV177=$CW$111),DI$111,0)),"")</f>
      </c>
      <c s="73">
        <f t="shared" ref="EE177:EE208" si="79">IF(AND(CV177=CW177,CV177&lt;&gt;"",DJ177&lt;&gt;"",DY177&lt;&gt;""),IF(AND(ISERROR(FIND("NeighMkt",$CX$102))=FALSE,LEFT($CW$111,10)="ALL OUTLET"),DY177-IF(ISERROR(VLOOKUP(CV177,$CA$113:$DZ$300,51,FALSE))=TRUE,0,IF(VLOOKUP(CV177,$CA$113:$DZ$300,51,FALSE)="",0,VLOOKUP(CV177,$CA$113:$DZ$300,51,FALSE))),DY177),"")</f>
      </c>
      <c s="73">
        <f t="shared" ref="EF177:EF208" si="80">IF(AND(CV177=CW177,CV177&lt;&gt;"",DI$111&lt;&gt;"",DK177&lt;&gt;"",DZ177&lt;&gt;""),IF(CW$101="Y",DZ177-IF(ISERROR(VLOOKUP(CV177,$CA$113:$DZ$300,52,FALSE))=TRUE,0,IF(VLOOKUP(CV177,$CA$113:$DZ$300,52,FALSE)="",0,VLOOKUP(CV177,$CA$113:$DZ$300,52,FALSE))),DZ177-IF(AND(CW$102="Y",CV177=$CW$111),DX$111,0)),"")</f>
      </c>
      <c s="74">
        <f t="shared" ref="EG177:EG209" si="81">IF(AND(CV177=CW177,CV177&lt;&gt;"",DJ177&lt;&gt;"",EE177&lt;&gt;""),EC177/$DJ$112-(EC177-EE177)/($DJ$112-$DY$112),"")</f>
      </c>
      <c s="74">
        <f t="shared" ref="EH177:EH209" si="82">IF(AND(CV177=CW177,CV177&lt;&gt;"",DI$111&lt;&gt;"",DK177&lt;&gt;"",EF177&lt;&gt;""),ED177/$DI$112-(ED177-EF177)/($DI$112-$DX$112),"")</f>
      </c>
      <c s="69" t="str">
        <f t="shared" si="55"/>
        <v>Total US - Ralphs</v>
      </c>
      <c s="69" t="str">
        <f t="shared" si="56"/>
        <v>Total US - GroceryX</v>
      </c>
      <c s="77"/>
    </row>
    <row r="178" spans="1:141" ht="15">
      <c r="A17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ref="CA178:CA209" si="83">IF(ISERROR(FIND("Walmart",CV178))=FALSE,CW178,"")</f>
      </c>
      <c s="75">
        <f t="shared" si="57"/>
      </c>
      <c s="76">
        <f t="shared" si="58"/>
      </c>
      <c s="75">
        <f t="shared" si="59"/>
      </c>
      <c s="76">
        <f t="shared" si="60"/>
      </c>
      <c s="75">
        <f t="shared" si="61"/>
      </c>
      <c s="76">
        <f t="shared" si="62"/>
      </c>
      <c s="75">
        <f t="shared" si="63"/>
      </c>
      <c s="76">
        <f t="shared" si="64"/>
      </c>
      <c s="75">
        <f t="shared" ref="CJ178:CJ241" si="84">IF(ISERROR(VLOOKUP(CV178,$AL$8:$AL$14,1,FALSE))=TRUE,IF(AND(ISERROR(FIND("NeighMkt",$CX$102))=FALSE,LEFT($CW$111,10)="ALL OUTLET",$CA178&lt;&gt;"",DK178&lt;&gt;""),"",IF($Z$4="",IF(AND($CV178&lt;&gt;$CW178,$CW178=CJ$110),$DK178,""),IF(AND($CV178&lt;&gt;$CW178,$CW178&lt;&gt;CD$110,$CW178&lt;&gt;CF$110,$CW178&lt;&gt;CH$110,$CW178&lt;&gt;$CV$111),$DK178,""))),"")</f>
      </c>
      <c s="76">
        <f t="shared" si="65"/>
      </c>
      <c s="75">
        <f t="shared" si="66"/>
      </c>
      <c s="76">
        <f t="shared" si="67"/>
      </c>
      <c s="75">
        <f t="shared" si="68"/>
      </c>
      <c s="76">
        <f t="shared" si="69"/>
      </c>
      <c s="75">
        <f t="shared" si="70"/>
      </c>
      <c s="76">
        <f t="shared" si="71"/>
      </c>
      <c s="75">
        <f t="shared" si="72"/>
      </c>
      <c s="76">
        <f t="shared" si="73"/>
      </c>
      <c s="75">
        <f t="shared" ref="CT178:CT241" si="85">IF(ISERROR(VLOOKUP(CV178,$AL$8:$AL$14,1,FALSE))=TRUE,IF(AND(ISERROR(FIND("NeighMkt",$CX$102))=FALSE,LEFT($CW$111,10)="ALL OUTLET",$CA178&lt;&gt;"",DJ178&lt;&gt;""),"",IF($Z$4="",IF(AND($CV178&lt;&gt;$CW178,$CW178=CT$110),$DJ178,""),IF(AND($CV178&lt;&gt;$CW178,$CW178&lt;&gt;CN$110,$CW178&lt;&gt;CP$110,$CW178&lt;&gt;CR$110,$CW178&lt;&gt;$CV$111),$DJ178,""))),"")</f>
      </c>
      <c s="76">
        <f t="shared" si="74"/>
      </c>
      <c s="65" t="str">
        <f t="shared" si="75"/>
        <v>Randalls</v>
      </c>
      <c s="65" t="str">
        <f t="shared" si="76"/>
        <v>GroceryX</v>
      </c>
      <c s="72" t="str">
        <f>IF('[1]Leakage Tree Data'!A77&lt;&gt;"",'[1]Leakage Tree Data'!A77,"")</f>
        <v>Total US - Randalls</v>
      </c>
      <c s="72" t="str">
        <f>IF('[1]Leakage Tree Data'!B77&lt;&gt;"",'[1]Leakage Tree Data'!B77,"")</f>
        <v>Total US - GroceryX</v>
      </c>
      <c s="72">
        <f>IF('[1]Leakage Tree Data'!C77&lt;&gt;"",'[1]Leakage Tree Data'!C77,"")</f>
        <v>121171760.292236</v>
      </c>
      <c s="72">
        <f>IF('[1]Leakage Tree Data'!D77&lt;&gt;"",'[1]Leakage Tree Data'!D77,"")</f>
        <v>888838.193847656</v>
      </c>
      <c s="72">
        <f>IF('[1]Leakage Tree Data'!E77&lt;&gt;"",'[1]Leakage Tree Data'!E77,"")</f>
        <v>0.733535760893461</v>
      </c>
      <c s="72">
        <f>IF('[1]Leakage Tree Data'!F77&lt;&gt;"",'[1]Leakage Tree Data'!F77,"")</f>
        <v>120282922.098389</v>
      </c>
      <c s="72">
        <f>IF('[1]Leakage Tree Data'!G77&lt;&gt;"",'[1]Leakage Tree Data'!G77,"")</f>
        <v>99.2664642391065</v>
      </c>
      <c s="72">
        <f>IF('[1]Leakage Tree Data'!H77&lt;&gt;"",'[1]Leakage Tree Data'!H77,"")</f>
        <v>61518209.9918823</v>
      </c>
      <c s="72" t="str">
        <f>IF('[1]Leakage Tree Data'!I77&lt;&gt;"",'[1]Leakage Tree Data'!I77,"")</f>
        <v>GroceryX</v>
      </c>
      <c s="72">
        <f>IF('[1]Leakage Tree Data'!J77&lt;&gt;"",'[1]Leakage Tree Data'!J77,"")</f>
        <v>99.804012825982</v>
      </c>
      <c s="72">
        <f>IF('[1]Leakage Tree Data'!K77&lt;&gt;"",'[1]Leakage Tree Data'!K77,"")</f>
        <v>120567.801269531</v>
      </c>
      <c s="72">
        <f>IF('[1]Leakage Tree Data'!L77&lt;&gt;"",'[1]Leakage Tree Data'!L77,"")</f>
      </c>
      <c s="72">
        <f>IF('[1]Leakage Tree Data'!M77&lt;&gt;"",'[1]Leakage Tree Data'!M77,"")</f>
      </c>
      <c s="72">
        <f>IF('[1]Leakage Tree Data'!N77&lt;&gt;"",'[1]Leakage Tree Data'!N77,"")</f>
      </c>
      <c s="72">
        <f>IF('[1]Leakage Tree Data'!O77&lt;&gt;"",'[1]Leakage Tree Data'!O77,"")</f>
        <v>18.9023354816775</v>
      </c>
      <c s="72">
        <f>IF('[1]Leakage Tree Data'!P77&lt;&gt;"",'[1]Leakage Tree Data'!P77,"")</f>
        <v>160692.802937991</v>
      </c>
      <c s="72">
        <f>IF('[1]Leakage Tree Data'!Q77&lt;&gt;"",'[1]Leakage Tree Data'!Q77,"")</f>
      </c>
      <c s="72">
        <f>IF('[1]Leakage Tree Data'!R77&lt;&gt;"",'[1]Leakage Tree Data'!R77,"")</f>
        <v>1017625.85098267</v>
      </c>
      <c s="72">
        <f>IF('[1]Leakage Tree Data'!S77&lt;&gt;"",'[1]Leakage Tree Data'!S77,"")</f>
        <v>2208.15344238281</v>
      </c>
      <c s="72">
        <f>IF('[1]Leakage Tree Data'!T77&lt;&gt;"",'[1]Leakage Tree Data'!T77,"")</f>
        <v>-0.0043747941850818</v>
      </c>
      <c s="72">
        <f>IF('[1]Leakage Tree Data'!U77&lt;&gt;"",'[1]Leakage Tree Data'!U77,"")</f>
        <v>1015417.69754028</v>
      </c>
      <c s="72">
        <f>IF('[1]Leakage Tree Data'!V77&lt;&gt;"",'[1]Leakage Tree Data'!V77,"")</f>
        <v>0.00437479418508246</v>
      </c>
      <c s="72">
        <f>IF('[1]Leakage Tree Data'!W77&lt;&gt;"",'[1]Leakage Tree Data'!W77,"")</f>
        <v>-1855949.2237854</v>
      </c>
      <c s="72">
        <f>IF('[1]Leakage Tree Data'!X77&lt;&gt;"",'[1]Leakage Tree Data'!X77,"")</f>
      </c>
      <c s="72">
        <f>IF('[1]Leakage Tree Data'!Y77&lt;&gt;"",'[1]Leakage Tree Data'!Y77,"")</f>
        <v>0.0121153234369302</v>
      </c>
      <c s="72">
        <f>IF('[1]Leakage Tree Data'!Z77&lt;&gt;"",'[1]Leakage Tree Data'!Z77,"")</f>
        <v>-11315.4067993164</v>
      </c>
      <c s="72">
        <f>IF('[1]Leakage Tree Data'!AA77&lt;&gt;"",'[1]Leakage Tree Data'!AA77,"")</f>
      </c>
      <c s="72">
        <f>IF('[1]Leakage Tree Data'!AB77&lt;&gt;"",'[1]Leakage Tree Data'!AB77,"")</f>
      </c>
      <c s="72">
        <f>IF('[1]Leakage Tree Data'!AC77&lt;&gt;"",'[1]Leakage Tree Data'!AC77,"")</f>
      </c>
      <c s="72">
        <f>IF('[1]Leakage Tree Data'!AD77&lt;&gt;"",'[1]Leakage Tree Data'!AD77,"")</f>
        <v>-0.484250708261158</v>
      </c>
      <c s="72">
        <f>IF('[1]Leakage Tree Data'!AE77&lt;&gt;"",'[1]Leakage Tree Data'!AE77,"")</f>
      </c>
      <c s="73">
        <f t="shared" si="77"/>
      </c>
      <c s="73">
        <f t="shared" si="78"/>
      </c>
      <c s="73">
        <f t="shared" si="79"/>
      </c>
      <c s="73">
        <f t="shared" si="80"/>
      </c>
      <c s="74">
        <f t="shared" si="81"/>
      </c>
      <c s="74">
        <f t="shared" si="82"/>
      </c>
      <c s="69" t="str">
        <f t="shared" si="55"/>
        <v>Total US - Randalls</v>
      </c>
      <c s="69" t="str">
        <f t="shared" si="56"/>
        <v>Total US - GroceryX</v>
      </c>
      <c s="77"/>
    </row>
    <row r="179" spans="1:141" ht="15">
      <c r="A17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3"/>
      </c>
      <c s="75">
        <f t="shared" si="57"/>
      </c>
      <c s="76">
        <f t="shared" si="58"/>
      </c>
      <c s="75">
        <f t="shared" si="59"/>
      </c>
      <c s="76">
        <f t="shared" si="60"/>
      </c>
      <c s="75">
        <f t="shared" si="61"/>
      </c>
      <c s="76">
        <f t="shared" si="62"/>
      </c>
      <c s="75">
        <f t="shared" si="63"/>
      </c>
      <c s="76">
        <f t="shared" si="64"/>
      </c>
      <c s="75">
        <f t="shared" si="84"/>
      </c>
      <c s="76">
        <f t="shared" si="65"/>
      </c>
      <c s="75">
        <f t="shared" si="66"/>
      </c>
      <c s="76">
        <f t="shared" si="67"/>
      </c>
      <c s="75">
        <f t="shared" si="68"/>
        <v>1349132.98492432</v>
      </c>
      <c s="76">
        <f t="shared" si="69"/>
        <v>49</v>
      </c>
      <c s="75">
        <f t="shared" si="70"/>
      </c>
      <c s="76">
        <f t="shared" si="71"/>
      </c>
      <c s="75">
        <f t="shared" si="72"/>
      </c>
      <c s="76">
        <f t="shared" si="73"/>
      </c>
      <c s="75">
        <f t="shared" si="85"/>
      </c>
      <c s="76">
        <f t="shared" si="74"/>
      </c>
      <c s="65" t="str">
        <f t="shared" si="75"/>
        <v>Redners Markets</v>
      </c>
      <c s="65" t="str">
        <f t="shared" si="76"/>
        <v>GroceryX</v>
      </c>
      <c s="72" t="str">
        <f>IF('[1]Leakage Tree Data'!A78&lt;&gt;"",'[1]Leakage Tree Data'!A78,"")</f>
        <v>Total US - Redners Markets</v>
      </c>
      <c s="72" t="str">
        <f>IF('[1]Leakage Tree Data'!B78&lt;&gt;"",'[1]Leakage Tree Data'!B78,"")</f>
        <v>Total US - GroceryX</v>
      </c>
      <c s="72">
        <f>IF('[1]Leakage Tree Data'!C78&lt;&gt;"",'[1]Leakage Tree Data'!C78,"")</f>
        <v>121171760.292236</v>
      </c>
      <c s="72">
        <f>IF('[1]Leakage Tree Data'!D78&lt;&gt;"",'[1]Leakage Tree Data'!D78,"")</f>
        <v>874541.877746582</v>
      </c>
      <c s="72">
        <f>IF('[1]Leakage Tree Data'!E78&lt;&gt;"",'[1]Leakage Tree Data'!E78,"")</f>
        <v>0.721737371510823</v>
      </c>
      <c s="72">
        <f>IF('[1]Leakage Tree Data'!F78&lt;&gt;"",'[1]Leakage Tree Data'!F78,"")</f>
        <v>120297218.41449</v>
      </c>
      <c s="72">
        <f>IF('[1]Leakage Tree Data'!G78&lt;&gt;"",'[1]Leakage Tree Data'!G78,"")</f>
        <v>99.2782626284892</v>
      </c>
      <c s="72">
        <f>IF('[1]Leakage Tree Data'!H78&lt;&gt;"",'[1]Leakage Tree Data'!H78,"")</f>
        <v>61518209.9918823</v>
      </c>
      <c s="72" t="str">
        <f>IF('[1]Leakage Tree Data'!I78&lt;&gt;"",'[1]Leakage Tree Data'!I78,"")</f>
        <v>GroceryX</v>
      </c>
      <c s="72">
        <f>IF('[1]Leakage Tree Data'!J78&lt;&gt;"",'[1]Leakage Tree Data'!J78,"")</f>
        <v>99.8347359399282</v>
      </c>
      <c s="72">
        <f>IF('[1]Leakage Tree Data'!K78&lt;&gt;"",'[1]Leakage Tree Data'!K78,"")</f>
        <v>101667.491516113</v>
      </c>
      <c s="72">
        <f>IF('[1]Leakage Tree Data'!L78&lt;&gt;"",'[1]Leakage Tree Data'!L78,"")</f>
      </c>
      <c s="72">
        <f>IF('[1]Leakage Tree Data'!M78&lt;&gt;"",'[1]Leakage Tree Data'!M78,"")</f>
        <v>1349132.98492432</v>
      </c>
      <c s="72">
        <f>IF('[1]Leakage Tree Data'!N78&lt;&gt;"",'[1]Leakage Tree Data'!N78,"")</f>
      </c>
      <c s="72">
        <f>IF('[1]Leakage Tree Data'!O78&lt;&gt;"",'[1]Leakage Tree Data'!O78,"")</f>
        <v>28.244335240934</v>
      </c>
      <c s="72">
        <f>IF('[1]Leakage Tree Data'!P78&lt;&gt;"",'[1]Leakage Tree Data'!P78,"")</f>
        <v>159200.081021319</v>
      </c>
      <c s="72">
        <f>IF('[1]Leakage Tree Data'!Q78&lt;&gt;"",'[1]Leakage Tree Data'!Q78,"")</f>
      </c>
      <c s="72">
        <f>IF('[1]Leakage Tree Data'!R78&lt;&gt;"",'[1]Leakage Tree Data'!R78,"")</f>
        <v>1017625.85098267</v>
      </c>
      <c s="72">
        <f>IF('[1]Leakage Tree Data'!S78&lt;&gt;"",'[1]Leakage Tree Data'!S78,"")</f>
        <v>-70837.3934936523</v>
      </c>
      <c s="72">
        <f>IF('[1]Leakage Tree Data'!T78&lt;&gt;"",'[1]Leakage Tree Data'!T78,"")</f>
        <v>-0.0650680727100361</v>
      </c>
      <c s="72">
        <f>IF('[1]Leakage Tree Data'!U78&lt;&gt;"",'[1]Leakage Tree Data'!U78,"")</f>
        <v>1088463.24447632</v>
      </c>
      <c s="72">
        <f>IF('[1]Leakage Tree Data'!V78&lt;&gt;"",'[1]Leakage Tree Data'!V78,"")</f>
        <v>0.0650680727100337</v>
      </c>
      <c s="72">
        <f>IF('[1]Leakage Tree Data'!W78&lt;&gt;"",'[1]Leakage Tree Data'!W78,"")</f>
        <v>-1855949.2237854</v>
      </c>
      <c s="72">
        <f>IF('[1]Leakage Tree Data'!X78&lt;&gt;"",'[1]Leakage Tree Data'!X78,"")</f>
      </c>
      <c s="72">
        <f>IF('[1]Leakage Tree Data'!Y78&lt;&gt;"",'[1]Leakage Tree Data'!Y78,"")</f>
        <v>0.00227823227268686</v>
      </c>
      <c s="72">
        <f>IF('[1]Leakage Tree Data'!Z78&lt;&gt;"",'[1]Leakage Tree Data'!Z78,"")</f>
        <v>-4511.02758789063</v>
      </c>
      <c s="72">
        <f>IF('[1]Leakage Tree Data'!AA78&lt;&gt;"",'[1]Leakage Tree Data'!AA78,"")</f>
      </c>
      <c s="72">
        <f>IF('[1]Leakage Tree Data'!AB78&lt;&gt;"",'[1]Leakage Tree Data'!AB78,"")</f>
        <v>57416.4068908691</v>
      </c>
      <c s="72">
        <f>IF('[1]Leakage Tree Data'!AC78&lt;&gt;"",'[1]Leakage Tree Data'!AC78,"")</f>
      </c>
      <c s="72">
        <f>IF('[1]Leakage Tree Data'!AD78&lt;&gt;"",'[1]Leakage Tree Data'!AD78,"")</f>
        <v>3.23007531576835</v>
      </c>
      <c s="72">
        <f>IF('[1]Leakage Tree Data'!AE78&lt;&gt;"",'[1]Leakage Tree Data'!AE78,"")</f>
      </c>
      <c s="73">
        <f t="shared" si="77"/>
      </c>
      <c s="73">
        <f t="shared" si="78"/>
      </c>
      <c s="73">
        <f t="shared" si="79"/>
      </c>
      <c s="73">
        <f t="shared" si="80"/>
      </c>
      <c s="74">
        <f t="shared" si="81"/>
      </c>
      <c s="74">
        <f t="shared" si="82"/>
      </c>
      <c s="69" t="str">
        <f t="shared" si="55"/>
        <v>Total US - Redners Markets</v>
      </c>
      <c s="69" t="str">
        <f t="shared" si="56"/>
        <v>Total US - GroceryX</v>
      </c>
      <c s="77"/>
    </row>
    <row r="180" spans="1:141" ht="15">
      <c r="A18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3"/>
      </c>
      <c s="75">
        <f t="shared" si="57"/>
      </c>
      <c s="76">
        <f t="shared" si="58"/>
      </c>
      <c s="75">
        <f t="shared" si="59"/>
        <v>5644189.27176666</v>
      </c>
      <c s="76">
        <f t="shared" si="60"/>
        <v>5</v>
      </c>
      <c s="75">
        <f t="shared" si="61"/>
      </c>
      <c s="76">
        <f t="shared" si="62"/>
      </c>
      <c s="75">
        <f t="shared" si="63"/>
      </c>
      <c s="76">
        <f t="shared" si="64"/>
      </c>
      <c s="75">
        <f t="shared" si="84"/>
      </c>
      <c s="76">
        <f t="shared" si="65"/>
      </c>
      <c s="75">
        <f t="shared" si="66"/>
      </c>
      <c s="76">
        <f t="shared" si="67"/>
      </c>
      <c s="75">
        <f t="shared" si="68"/>
        <v>17293796.6578331</v>
      </c>
      <c s="76">
        <f t="shared" si="69"/>
        <v>7</v>
      </c>
      <c s="75">
        <f t="shared" si="70"/>
      </c>
      <c s="76">
        <f t="shared" si="71"/>
      </c>
      <c s="75">
        <f t="shared" si="72"/>
      </c>
      <c s="76">
        <f t="shared" si="73"/>
      </c>
      <c s="75">
        <f t="shared" si="85"/>
      </c>
      <c s="76">
        <f t="shared" si="74"/>
      </c>
      <c s="65" t="str">
        <f t="shared" si="75"/>
        <v>Safeway</v>
      </c>
      <c s="65" t="str">
        <f t="shared" si="76"/>
        <v>GroceryX</v>
      </c>
      <c s="72" t="str">
        <f>IF('[1]Leakage Tree Data'!A79&lt;&gt;"",'[1]Leakage Tree Data'!A79,"")</f>
        <v>Total US - Safeway</v>
      </c>
      <c s="72" t="str">
        <f>IF('[1]Leakage Tree Data'!B79&lt;&gt;"",'[1]Leakage Tree Data'!B79,"")</f>
        <v>Total US - GroceryX</v>
      </c>
      <c s="72">
        <f>IF('[1]Leakage Tree Data'!C79&lt;&gt;"",'[1]Leakage Tree Data'!C79,"")</f>
        <v>121171760.292236</v>
      </c>
      <c s="72">
        <f>IF('[1]Leakage Tree Data'!D79&lt;&gt;"",'[1]Leakage Tree Data'!D79,"")</f>
        <v>12586133.8451233</v>
      </c>
      <c s="72">
        <f>IF('[1]Leakage Tree Data'!E79&lt;&gt;"",'[1]Leakage Tree Data'!E79,"")</f>
        <v>10.387019066793</v>
      </c>
      <c s="72">
        <f>IF('[1]Leakage Tree Data'!F79&lt;&gt;"",'[1]Leakage Tree Data'!F79,"")</f>
        <v>108585626.447113</v>
      </c>
      <c s="72">
        <f>IF('[1]Leakage Tree Data'!G79&lt;&gt;"",'[1]Leakage Tree Data'!G79,"")</f>
        <v>89.612980933207</v>
      </c>
      <c s="72">
        <f>IF('[1]Leakage Tree Data'!H79&lt;&gt;"",'[1]Leakage Tree Data'!H79,"")</f>
        <v>61518209.9918823</v>
      </c>
      <c s="72" t="str">
        <f>IF('[1]Leakage Tree Data'!I79&lt;&gt;"",'[1]Leakage Tree Data'!I79,"")</f>
        <v>GroceryX</v>
      </c>
      <c s="72">
        <f>IF('[1]Leakage Tree Data'!J79&lt;&gt;"",'[1]Leakage Tree Data'!J79,"")</f>
        <v>97.1203305831684</v>
      </c>
      <c s="72">
        <f>IF('[1]Leakage Tree Data'!K79&lt;&gt;"",'[1]Leakage Tree Data'!K79,"")</f>
        <v>1771521.07891846</v>
      </c>
      <c s="72">
        <f>IF('[1]Leakage Tree Data'!L79&lt;&gt;"",'[1]Leakage Tree Data'!L79,"")</f>
        <v>5644189.27176666</v>
      </c>
      <c s="72">
        <f>IF('[1]Leakage Tree Data'!M79&lt;&gt;"",'[1]Leakage Tree Data'!M79,"")</f>
        <v>17293796.6578331</v>
      </c>
      <c s="72">
        <f>IF('[1]Leakage Tree Data'!N79&lt;&gt;"",'[1]Leakage Tree Data'!N79,"")</f>
        <v>5644189.27176666</v>
      </c>
      <c s="72">
        <f>IF('[1]Leakage Tree Data'!O79&lt;&gt;"",'[1]Leakage Tree Data'!O79,"")</f>
        <v>25.3296214975879</v>
      </c>
      <c s="72">
        <f>IF('[1]Leakage Tree Data'!P79&lt;&gt;"",'[1]Leakage Tree Data'!P79,"")</f>
        <v>2537624.50858841</v>
      </c>
      <c s="72">
        <f>IF('[1]Leakage Tree Data'!Q79&lt;&gt;"",'[1]Leakage Tree Data'!Q79,"")</f>
      </c>
      <c s="72">
        <f>IF('[1]Leakage Tree Data'!R79&lt;&gt;"",'[1]Leakage Tree Data'!R79,"")</f>
        <v>1017625.85098267</v>
      </c>
      <c s="72">
        <f>IF('[1]Leakage Tree Data'!S79&lt;&gt;"",'[1]Leakage Tree Data'!S79,"")</f>
        <v>-119278.275817871</v>
      </c>
      <c s="72">
        <f>IF('[1]Leakage Tree Data'!T79&lt;&gt;"",'[1]Leakage Tree Data'!T79,"")</f>
        <v>-0.187242218533939</v>
      </c>
      <c s="72">
        <f>IF('[1]Leakage Tree Data'!U79&lt;&gt;"",'[1]Leakage Tree Data'!U79,"")</f>
        <v>1136904.12680054</v>
      </c>
      <c s="72">
        <f>IF('[1]Leakage Tree Data'!V79&lt;&gt;"",'[1]Leakage Tree Data'!V79,"")</f>
        <v>0.187242218533953</v>
      </c>
      <c s="72">
        <f>IF('[1]Leakage Tree Data'!W79&lt;&gt;"",'[1]Leakage Tree Data'!W79,"")</f>
        <v>-1855949.2237854</v>
      </c>
      <c s="72">
        <f>IF('[1]Leakage Tree Data'!X79&lt;&gt;"",'[1]Leakage Tree Data'!X79,"")</f>
      </c>
      <c s="72">
        <f>IF('[1]Leakage Tree Data'!Y79&lt;&gt;"",'[1]Leakage Tree Data'!Y79,"")</f>
        <v>0.739950771290538</v>
      </c>
      <c s="72">
        <f>IF('[1]Leakage Tree Data'!Z79&lt;&gt;"",'[1]Leakage Tree Data'!Z79,"")</f>
        <v>-522382.782104492</v>
      </c>
      <c s="72">
        <f>IF('[1]Leakage Tree Data'!AA79&lt;&gt;"",'[1]Leakage Tree Data'!AA79,"")</f>
        <v>-3755937.1738205</v>
      </c>
      <c s="72">
        <f>IF('[1]Leakage Tree Data'!AB79&lt;&gt;"",'[1]Leakage Tree Data'!AB79,"")</f>
        <v>-8661259.76702499</v>
      </c>
      <c s="72">
        <f>IF('[1]Leakage Tree Data'!AC79&lt;&gt;"",'[1]Leakage Tree Data'!AC79,"")</f>
        <v>-3755937.1738205</v>
      </c>
      <c s="72">
        <f>IF('[1]Leakage Tree Data'!AD79&lt;&gt;"",'[1]Leakage Tree Data'!AD79,"")</f>
        <v>-4.81332910260542</v>
      </c>
      <c s="72">
        <f>IF('[1]Leakage Tree Data'!AE79&lt;&gt;"",'[1]Leakage Tree Data'!AE79,"")</f>
      </c>
      <c s="73">
        <f t="shared" si="77"/>
      </c>
      <c s="73">
        <f t="shared" si="78"/>
      </c>
      <c s="73">
        <f t="shared" si="79"/>
      </c>
      <c s="73">
        <f t="shared" si="80"/>
      </c>
      <c s="74">
        <f t="shared" si="81"/>
      </c>
      <c s="74">
        <f t="shared" si="82"/>
      </c>
      <c s="69" t="str">
        <f t="shared" si="55"/>
        <v>Total US - Safeway</v>
      </c>
      <c s="69" t="str">
        <f t="shared" si="56"/>
        <v>Total US - GroceryX</v>
      </c>
      <c s="77"/>
    </row>
    <row r="181" spans="1:141" ht="15">
      <c r="A18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3"/>
      </c>
      <c s="75">
        <f t="shared" si="57"/>
      </c>
      <c s="76">
        <f t="shared" si="58"/>
      </c>
      <c s="75">
        <f t="shared" si="59"/>
      </c>
      <c s="76">
        <f t="shared" si="60"/>
      </c>
      <c s="75">
        <f t="shared" si="61"/>
      </c>
      <c s="76">
        <f t="shared" si="62"/>
      </c>
      <c s="75">
        <f t="shared" si="63"/>
      </c>
      <c s="76">
        <f t="shared" si="64"/>
      </c>
      <c s="75">
        <f t="shared" si="84"/>
      </c>
      <c s="76">
        <f t="shared" si="65"/>
      </c>
      <c s="75">
        <f t="shared" si="66"/>
      </c>
      <c s="76">
        <f t="shared" si="67"/>
      </c>
      <c s="75">
        <f t="shared" si="68"/>
        <v>786723.850179672</v>
      </c>
      <c s="76">
        <f t="shared" si="69"/>
        <v>53</v>
      </c>
      <c s="75">
        <f t="shared" si="70"/>
      </c>
      <c s="76">
        <f t="shared" si="71"/>
      </c>
      <c s="75">
        <f t="shared" si="72"/>
      </c>
      <c s="76">
        <f t="shared" si="73"/>
      </c>
      <c s="75">
        <f t="shared" si="85"/>
      </c>
      <c s="76">
        <f t="shared" si="74"/>
      </c>
      <c s="65" t="str">
        <f t="shared" si="75"/>
        <v>Save A Lot</v>
      </c>
      <c s="65" t="str">
        <f t="shared" si="76"/>
        <v>GroceryX</v>
      </c>
      <c s="72" t="str">
        <f>IF('[1]Leakage Tree Data'!A80&lt;&gt;"",'[1]Leakage Tree Data'!A80,"")</f>
        <v>Total US - Save A Lot</v>
      </c>
      <c s="72" t="str">
        <f>IF('[1]Leakage Tree Data'!B80&lt;&gt;"",'[1]Leakage Tree Data'!B80,"")</f>
        <v>Total US - GroceryX</v>
      </c>
      <c s="72">
        <f>IF('[1]Leakage Tree Data'!C80&lt;&gt;"",'[1]Leakage Tree Data'!C80,"")</f>
        <v>121171760.292236</v>
      </c>
      <c s="72">
        <f>IF('[1]Leakage Tree Data'!D80&lt;&gt;"",'[1]Leakage Tree Data'!D80,"")</f>
        <v>9656065.7350769</v>
      </c>
      <c s="72">
        <f>IF('[1]Leakage Tree Data'!E80&lt;&gt;"",'[1]Leakage Tree Data'!E80,"")</f>
        <v>7.96890769911146</v>
      </c>
      <c s="72">
        <f>IF('[1]Leakage Tree Data'!F80&lt;&gt;"",'[1]Leakage Tree Data'!F80,"")</f>
        <v>111515694.557159</v>
      </c>
      <c s="72">
        <f>IF('[1]Leakage Tree Data'!G80&lt;&gt;"",'[1]Leakage Tree Data'!G80,"")</f>
        <v>92.0310923008885</v>
      </c>
      <c s="72">
        <f>IF('[1]Leakage Tree Data'!H80&lt;&gt;"",'[1]Leakage Tree Data'!H80,"")</f>
        <v>61518209.9918823</v>
      </c>
      <c s="72" t="str">
        <f>IF('[1]Leakage Tree Data'!I80&lt;&gt;"",'[1]Leakage Tree Data'!I80,"")</f>
        <v>GroceryX</v>
      </c>
      <c s="72">
        <f>IF('[1]Leakage Tree Data'!J80&lt;&gt;"",'[1]Leakage Tree Data'!J80,"")</f>
        <v>99.8240433754526</v>
      </c>
      <c s="72">
        <f>IF('[1]Leakage Tree Data'!K80&lt;&gt;"",'[1]Leakage Tree Data'!K80,"")</f>
        <v>108245.365783691</v>
      </c>
      <c s="72">
        <f>IF('[1]Leakage Tree Data'!L80&lt;&gt;"",'[1]Leakage Tree Data'!L80,"")</f>
      </c>
      <c s="72">
        <f>IF('[1]Leakage Tree Data'!M80&lt;&gt;"",'[1]Leakage Tree Data'!M80,"")</f>
        <v>786723.850179672</v>
      </c>
      <c s="72">
        <f>IF('[1]Leakage Tree Data'!N80&lt;&gt;"",'[1]Leakage Tree Data'!N80,"")</f>
      </c>
      <c s="72">
        <f>IF('[1]Leakage Tree Data'!O80&lt;&gt;"",'[1]Leakage Tree Data'!O80,"")</f>
        <v>4.12523863455452</v>
      </c>
      <c s="72">
        <f>IF('[1]Leakage Tree Data'!P80&lt;&gt;"",'[1]Leakage Tree Data'!P80,"")</f>
        <v>646540.493421333</v>
      </c>
      <c s="72">
        <f>IF('[1]Leakage Tree Data'!Q80&lt;&gt;"",'[1]Leakage Tree Data'!Q80,"")</f>
      </c>
      <c s="72">
        <f>IF('[1]Leakage Tree Data'!R80&lt;&gt;"",'[1]Leakage Tree Data'!R80,"")</f>
        <v>1017625.85098267</v>
      </c>
      <c s="72">
        <f>IF('[1]Leakage Tree Data'!S80&lt;&gt;"",'[1]Leakage Tree Data'!S80,"")</f>
        <v>-327154.642059326</v>
      </c>
      <c s="72">
        <f>IF('[1]Leakage Tree Data'!T80&lt;&gt;"",'[1]Leakage Tree Data'!T80,"")</f>
        <v>-0.339770502900203</v>
      </c>
      <c s="72">
        <f>IF('[1]Leakage Tree Data'!U80&lt;&gt;"",'[1]Leakage Tree Data'!U80,"")</f>
        <v>1344780.49304199</v>
      </c>
      <c s="72">
        <f>IF('[1]Leakage Tree Data'!V80&lt;&gt;"",'[1]Leakage Tree Data'!V80,"")</f>
        <v>0.339770502900208</v>
      </c>
      <c s="72">
        <f>IF('[1]Leakage Tree Data'!W80&lt;&gt;"",'[1]Leakage Tree Data'!W80,"")</f>
        <v>-1855949.2237854</v>
      </c>
      <c s="72">
        <f>IF('[1]Leakage Tree Data'!X80&lt;&gt;"",'[1]Leakage Tree Data'!X80,"")</f>
      </c>
      <c s="72">
        <f>IF('[1]Leakage Tree Data'!Y80&lt;&gt;"",'[1]Leakage Tree Data'!Y80,"")</f>
        <v>0.106503554339696</v>
      </c>
      <c s="72">
        <f>IF('[1]Leakage Tree Data'!Z80&lt;&gt;"",'[1]Leakage Tree Data'!Z80,"")</f>
        <v>-70761.3977050781</v>
      </c>
      <c s="72">
        <f>IF('[1]Leakage Tree Data'!AA80&lt;&gt;"",'[1]Leakage Tree Data'!AA80,"")</f>
      </c>
      <c s="72">
        <f>IF('[1]Leakage Tree Data'!AB80&lt;&gt;"",'[1]Leakage Tree Data'!AB80,"")</f>
        <v>-268566.741083145</v>
      </c>
      <c s="72">
        <f>IF('[1]Leakage Tree Data'!AC80&lt;&gt;"",'[1]Leakage Tree Data'!AC80,"")</f>
      </c>
      <c s="72">
        <f>IF('[1]Leakage Tree Data'!AD80&lt;&gt;"",'[1]Leakage Tree Data'!AD80,"")</f>
        <v>-1.73669888507386</v>
      </c>
      <c s="72">
        <f>IF('[1]Leakage Tree Data'!AE80&lt;&gt;"",'[1]Leakage Tree Data'!AE80,"")</f>
      </c>
      <c s="73">
        <f t="shared" si="77"/>
      </c>
      <c s="73">
        <f t="shared" si="78"/>
      </c>
      <c s="73">
        <f t="shared" si="79"/>
      </c>
      <c s="73">
        <f t="shared" si="80"/>
      </c>
      <c s="74">
        <f t="shared" si="81"/>
      </c>
      <c s="74">
        <f t="shared" si="82"/>
      </c>
      <c s="69" t="str">
        <f t="shared" si="55"/>
        <v>Total US - Save A Lot</v>
      </c>
      <c s="69" t="str">
        <f t="shared" si="56"/>
        <v>Total US - GroceryX</v>
      </c>
      <c s="77"/>
    </row>
    <row r="182" spans="1:141" ht="15">
      <c r="A18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3"/>
      </c>
      <c s="75">
        <f t="shared" si="57"/>
      </c>
      <c s="76">
        <f t="shared" si="58"/>
      </c>
      <c s="75">
        <f t="shared" si="59"/>
      </c>
      <c s="76">
        <f t="shared" si="60"/>
      </c>
      <c s="75">
        <f t="shared" si="61"/>
      </c>
      <c s="76">
        <f t="shared" si="62"/>
      </c>
      <c s="75">
        <f t="shared" si="63"/>
      </c>
      <c s="76">
        <f t="shared" si="64"/>
      </c>
      <c s="75">
        <f t="shared" si="84"/>
      </c>
      <c s="76">
        <f t="shared" si="65"/>
      </c>
      <c s="75">
        <f t="shared" si="66"/>
      </c>
      <c s="76">
        <f t="shared" si="67"/>
      </c>
      <c s="75">
        <f t="shared" si="68"/>
      </c>
      <c s="76">
        <f t="shared" si="69"/>
      </c>
      <c s="75">
        <f t="shared" si="70"/>
      </c>
      <c s="76">
        <f t="shared" si="71"/>
      </c>
      <c s="75">
        <f t="shared" si="72"/>
      </c>
      <c s="76">
        <f t="shared" si="73"/>
      </c>
      <c s="75">
        <f t="shared" si="85"/>
      </c>
      <c s="76">
        <f t="shared" si="74"/>
      </c>
      <c s="65" t="str">
        <f t="shared" si="75"/>
        <v>Save Mart</v>
      </c>
      <c s="65" t="str">
        <f t="shared" si="76"/>
        <v>GroceryX</v>
      </c>
      <c s="72" t="str">
        <f>IF('[1]Leakage Tree Data'!A81&lt;&gt;"",'[1]Leakage Tree Data'!A81,"")</f>
        <v>Total US - Save Mart</v>
      </c>
      <c s="72" t="str">
        <f>IF('[1]Leakage Tree Data'!B81&lt;&gt;"",'[1]Leakage Tree Data'!B81,"")</f>
        <v>Total US - GroceryX</v>
      </c>
      <c s="72">
        <f>IF('[1]Leakage Tree Data'!C81&lt;&gt;"",'[1]Leakage Tree Data'!C81,"")</f>
        <v>121171760.292236</v>
      </c>
      <c s="72">
        <f>IF('[1]Leakage Tree Data'!D81&lt;&gt;"",'[1]Leakage Tree Data'!D81,"")</f>
        <v>1499834.51635742</v>
      </c>
      <c s="72">
        <f>IF('[1]Leakage Tree Data'!E81&lt;&gt;"",'[1]Leakage Tree Data'!E81,"")</f>
        <v>1.23777562753912</v>
      </c>
      <c s="72">
        <f>IF('[1]Leakage Tree Data'!F81&lt;&gt;"",'[1]Leakage Tree Data'!F81,"")</f>
        <v>119671925.775879</v>
      </c>
      <c s="72">
        <f>IF('[1]Leakage Tree Data'!G81&lt;&gt;"",'[1]Leakage Tree Data'!G81,"")</f>
        <v>98.7622243724609</v>
      </c>
      <c s="72">
        <f>IF('[1]Leakage Tree Data'!H81&lt;&gt;"",'[1]Leakage Tree Data'!H81,"")</f>
        <v>61518209.9918823</v>
      </c>
      <c s="72" t="str">
        <f>IF('[1]Leakage Tree Data'!I81&lt;&gt;"",'[1]Leakage Tree Data'!I81,"")</f>
        <v>GroceryX</v>
      </c>
      <c s="72">
        <f>IF('[1]Leakage Tree Data'!J81&lt;&gt;"",'[1]Leakage Tree Data'!J81,"")</f>
        <v>99.8034286472782</v>
      </c>
      <c s="72">
        <f>IF('[1]Leakage Tree Data'!K81&lt;&gt;"",'[1]Leakage Tree Data'!K81,"")</f>
        <v>120927.17755127</v>
      </c>
      <c s="72">
        <f>IF('[1]Leakage Tree Data'!L81&lt;&gt;"",'[1]Leakage Tree Data'!L81,"")</f>
      </c>
      <c s="72">
        <f>IF('[1]Leakage Tree Data'!M81&lt;&gt;"",'[1]Leakage Tree Data'!M81,"")</f>
      </c>
      <c s="72">
        <f>IF('[1]Leakage Tree Data'!N81&lt;&gt;"",'[1]Leakage Tree Data'!N81,"")</f>
      </c>
      <c s="72">
        <f>IF('[1]Leakage Tree Data'!O81&lt;&gt;"",'[1]Leakage Tree Data'!O81,"")</f>
        <v>13.1057994736243</v>
      </c>
      <c s="72">
        <f>IF('[1]Leakage Tree Data'!P81&lt;&gt;"",'[1]Leakage Tree Data'!P81,"")</f>
        <v>293702.846454759</v>
      </c>
      <c s="72">
        <f>IF('[1]Leakage Tree Data'!Q81&lt;&gt;"",'[1]Leakage Tree Data'!Q81,"")</f>
      </c>
      <c s="72">
        <f>IF('[1]Leakage Tree Data'!R81&lt;&gt;"",'[1]Leakage Tree Data'!R81,"")</f>
        <v>1017625.85098267</v>
      </c>
      <c s="72">
        <f>IF('[1]Leakage Tree Data'!S81&lt;&gt;"",'[1]Leakage Tree Data'!S81,"")</f>
        <v>-28431.8113708496</v>
      </c>
      <c s="72">
        <f>IF('[1]Leakage Tree Data'!T81&lt;&gt;"",'[1]Leakage Tree Data'!T81,"")</f>
        <v>-0.0341459212574244</v>
      </c>
      <c s="72">
        <f>IF('[1]Leakage Tree Data'!U81&lt;&gt;"",'[1]Leakage Tree Data'!U81,"")</f>
        <v>1046057.66235352</v>
      </c>
      <c s="72">
        <f>IF('[1]Leakage Tree Data'!V81&lt;&gt;"",'[1]Leakage Tree Data'!V81,"")</f>
        <v>0.0341459212574193</v>
      </c>
      <c s="72">
        <f>IF('[1]Leakage Tree Data'!W81&lt;&gt;"",'[1]Leakage Tree Data'!W81,"")</f>
        <v>-1855949.2237854</v>
      </c>
      <c s="72">
        <f>IF('[1]Leakage Tree Data'!X81&lt;&gt;"",'[1]Leakage Tree Data'!X81,"")</f>
      </c>
      <c s="72">
        <f>IF('[1]Leakage Tree Data'!Y81&lt;&gt;"",'[1]Leakage Tree Data'!Y81,"")</f>
        <v>0.104585806486313</v>
      </c>
      <c s="72">
        <f>IF('[1]Leakage Tree Data'!Z81&lt;&gt;"",'[1]Leakage Tree Data'!Z81,"")</f>
        <v>-69928.6400146484</v>
      </c>
      <c s="72">
        <f>IF('[1]Leakage Tree Data'!AA81&lt;&gt;"",'[1]Leakage Tree Data'!AA81,"")</f>
      </c>
      <c s="72">
        <f>IF('[1]Leakage Tree Data'!AB81&lt;&gt;"",'[1]Leakage Tree Data'!AB81,"")</f>
      </c>
      <c s="72">
        <f>IF('[1]Leakage Tree Data'!AC81&lt;&gt;"",'[1]Leakage Tree Data'!AC81,"")</f>
      </c>
      <c s="72">
        <f>IF('[1]Leakage Tree Data'!AD81&lt;&gt;"",'[1]Leakage Tree Data'!AD81,"")</f>
        <v>-3.68512111845875</v>
      </c>
      <c s="72">
        <f>IF('[1]Leakage Tree Data'!AE81&lt;&gt;"",'[1]Leakage Tree Data'!AE81,"")</f>
      </c>
      <c s="73">
        <f t="shared" si="77"/>
      </c>
      <c s="73">
        <f t="shared" si="78"/>
      </c>
      <c s="73">
        <f t="shared" si="79"/>
      </c>
      <c s="73">
        <f t="shared" si="80"/>
      </c>
      <c s="74">
        <f t="shared" si="81"/>
      </c>
      <c s="74">
        <f t="shared" si="82"/>
      </c>
      <c s="69" t="str">
        <f t="shared" si="55"/>
        <v>Total US - Save Mart</v>
      </c>
      <c s="69" t="str">
        <f t="shared" si="56"/>
        <v>Total US - GroceryX</v>
      </c>
      <c s="77"/>
    </row>
    <row r="183" spans="1:141" ht="15">
      <c r="A18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3"/>
      </c>
      <c s="75">
        <f t="shared" si="57"/>
      </c>
      <c s="76">
        <f t="shared" si="58"/>
      </c>
      <c s="75">
        <f t="shared" si="59"/>
      </c>
      <c s="76">
        <f t="shared" si="60"/>
      </c>
      <c s="75">
        <f t="shared" si="61"/>
      </c>
      <c s="76">
        <f t="shared" si="62"/>
      </c>
      <c s="75">
        <f t="shared" si="63"/>
      </c>
      <c s="76">
        <f t="shared" si="64"/>
      </c>
      <c s="75">
        <f t="shared" si="84"/>
      </c>
      <c s="76">
        <f t="shared" si="65"/>
      </c>
      <c s="75">
        <f t="shared" si="66"/>
      </c>
      <c s="76">
        <f t="shared" si="67"/>
      </c>
      <c s="75">
        <f t="shared" si="68"/>
        <v>2263680.30813599</v>
      </c>
      <c s="76">
        <f t="shared" si="69"/>
        <v>41</v>
      </c>
      <c s="75">
        <f t="shared" si="70"/>
      </c>
      <c s="76">
        <f t="shared" si="71"/>
      </c>
      <c s="75">
        <f t="shared" si="72"/>
      </c>
      <c s="76">
        <f t="shared" si="73"/>
      </c>
      <c s="75">
        <f t="shared" si="85"/>
      </c>
      <c s="76">
        <f t="shared" si="74"/>
      </c>
      <c s="65" t="str">
        <f t="shared" si="75"/>
        <v>Schnucks</v>
      </c>
      <c s="65" t="str">
        <f t="shared" si="76"/>
        <v>GroceryX</v>
      </c>
      <c s="72" t="str">
        <f>IF('[1]Leakage Tree Data'!A82&lt;&gt;"",'[1]Leakage Tree Data'!A82,"")</f>
        <v>Total US - Schnucks</v>
      </c>
      <c s="72" t="str">
        <f>IF('[1]Leakage Tree Data'!B82&lt;&gt;"",'[1]Leakage Tree Data'!B82,"")</f>
        <v>Total US - GroceryX</v>
      </c>
      <c s="72">
        <f>IF('[1]Leakage Tree Data'!C82&lt;&gt;"",'[1]Leakage Tree Data'!C82,"")</f>
        <v>121171760.292236</v>
      </c>
      <c s="72">
        <f>IF('[1]Leakage Tree Data'!D82&lt;&gt;"",'[1]Leakage Tree Data'!D82,"")</f>
        <v>1638034.86279297</v>
      </c>
      <c s="72">
        <f>IF('[1]Leakage Tree Data'!E82&lt;&gt;"",'[1]Leakage Tree Data'!E82,"")</f>
        <v>1.35182889052898</v>
      </c>
      <c s="72">
        <f>IF('[1]Leakage Tree Data'!F82&lt;&gt;"",'[1]Leakage Tree Data'!F82,"")</f>
        <v>119533725.429443</v>
      </c>
      <c s="72">
        <f>IF('[1]Leakage Tree Data'!G82&lt;&gt;"",'[1]Leakage Tree Data'!G82,"")</f>
        <v>98.648171109471</v>
      </c>
      <c s="72">
        <f>IF('[1]Leakage Tree Data'!H82&lt;&gt;"",'[1]Leakage Tree Data'!H82,"")</f>
        <v>61518209.9918823</v>
      </c>
      <c s="72" t="str">
        <f>IF('[1]Leakage Tree Data'!I82&lt;&gt;"",'[1]Leakage Tree Data'!I82,"")</f>
        <v>GroceryX</v>
      </c>
      <c s="72">
        <f>IF('[1]Leakage Tree Data'!J82&lt;&gt;"",'[1]Leakage Tree Data'!J82,"")</f>
        <v>99.6490601701224</v>
      </c>
      <c s="72">
        <f>IF('[1]Leakage Tree Data'!K82&lt;&gt;"",'[1]Leakage Tree Data'!K82,"")</f>
        <v>215891.901489258</v>
      </c>
      <c s="72">
        <f>IF('[1]Leakage Tree Data'!L82&lt;&gt;"",'[1]Leakage Tree Data'!L82,"")</f>
      </c>
      <c s="72">
        <f>IF('[1]Leakage Tree Data'!M82&lt;&gt;"",'[1]Leakage Tree Data'!M82,"")</f>
        <v>2263680.30813599</v>
      </c>
      <c s="72">
        <f>IF('[1]Leakage Tree Data'!N82&lt;&gt;"",'[1]Leakage Tree Data'!N82,"")</f>
      </c>
      <c s="72">
        <f>IF('[1]Leakage Tree Data'!O82&lt;&gt;"",'[1]Leakage Tree Data'!O82,"")</f>
        <v>23.5805568820646</v>
      </c>
      <c s="72">
        <f>IF('[1]Leakage Tree Data'!P82&lt;&gt;"",'[1]Leakage Tree Data'!P82,"")</f>
        <v>254522.498587304</v>
      </c>
      <c s="72">
        <f>IF('[1]Leakage Tree Data'!Q82&lt;&gt;"",'[1]Leakage Tree Data'!Q82,"")</f>
      </c>
      <c s="72">
        <f>IF('[1]Leakage Tree Data'!R82&lt;&gt;"",'[1]Leakage Tree Data'!R82,"")</f>
        <v>1017625.85098267</v>
      </c>
      <c s="72">
        <f>IF('[1]Leakage Tree Data'!S82&lt;&gt;"",'[1]Leakage Tree Data'!S82,"")</f>
        <v>-39293.6895141602</v>
      </c>
      <c s="72">
        <f>IF('[1]Leakage Tree Data'!T82&lt;&gt;"",'[1]Leakage Tree Data'!T82,"")</f>
        <v>-0.044151830490005</v>
      </c>
      <c s="72">
        <f>IF('[1]Leakage Tree Data'!U82&lt;&gt;"",'[1]Leakage Tree Data'!U82,"")</f>
        <v>1056919.54049683</v>
      </c>
      <c s="72">
        <f>IF('[1]Leakage Tree Data'!V82&lt;&gt;"",'[1]Leakage Tree Data'!V82,"")</f>
        <v>0.0441518304900086</v>
      </c>
      <c s="72">
        <f>IF('[1]Leakage Tree Data'!W82&lt;&gt;"",'[1]Leakage Tree Data'!W82,"")</f>
        <v>-1855949.2237854</v>
      </c>
      <c s="72">
        <f>IF('[1]Leakage Tree Data'!X82&lt;&gt;"",'[1]Leakage Tree Data'!X82,"")</f>
      </c>
      <c s="72">
        <f>IF('[1]Leakage Tree Data'!Y82&lt;&gt;"",'[1]Leakage Tree Data'!Y82,"")</f>
        <v>0.047794834174951</v>
      </c>
      <c s="72">
        <f>IF('[1]Leakage Tree Data'!Z82&lt;&gt;"",'[1]Leakage Tree Data'!Z82,"")</f>
        <v>-36802.8393554688</v>
      </c>
      <c s="72">
        <f>IF('[1]Leakage Tree Data'!AA82&lt;&gt;"",'[1]Leakage Tree Data'!AA82,"")</f>
      </c>
      <c s="72">
        <f>IF('[1]Leakage Tree Data'!AB82&lt;&gt;"",'[1]Leakage Tree Data'!AB82,"")</f>
        <v>-288522.914299011</v>
      </c>
      <c s="72">
        <f>IF('[1]Leakage Tree Data'!AC82&lt;&gt;"",'[1]Leakage Tree Data'!AC82,"")</f>
      </c>
      <c s="72">
        <f>IF('[1]Leakage Tree Data'!AD82&lt;&gt;"",'[1]Leakage Tree Data'!AD82,"")</f>
        <v>-1.87680219213592</v>
      </c>
      <c s="72">
        <f>IF('[1]Leakage Tree Data'!AE82&lt;&gt;"",'[1]Leakage Tree Data'!AE82,"")</f>
      </c>
      <c s="73">
        <f t="shared" si="77"/>
      </c>
      <c s="73">
        <f t="shared" si="78"/>
      </c>
      <c s="73">
        <f t="shared" si="79"/>
      </c>
      <c s="73">
        <f t="shared" si="80"/>
      </c>
      <c s="74">
        <f t="shared" si="81"/>
      </c>
      <c s="74">
        <f t="shared" si="82"/>
      </c>
      <c s="69" t="str">
        <f t="shared" si="55"/>
        <v>Total US - Schnucks</v>
      </c>
      <c s="69" t="str">
        <f t="shared" si="56"/>
        <v>Total US - GroceryX</v>
      </c>
      <c s="77"/>
    </row>
    <row r="184" spans="1:141" ht="15">
      <c r="A18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3"/>
      </c>
      <c s="75">
        <f t="shared" si="57"/>
      </c>
      <c s="76">
        <f t="shared" si="58"/>
      </c>
      <c s="75">
        <f t="shared" si="59"/>
      </c>
      <c s="76">
        <f t="shared" si="60"/>
      </c>
      <c s="75">
        <f t="shared" si="61"/>
      </c>
      <c s="76">
        <f t="shared" si="62"/>
      </c>
      <c s="75">
        <f t="shared" si="63"/>
      </c>
      <c s="76">
        <f t="shared" si="64"/>
      </c>
      <c s="75">
        <f t="shared" si="84"/>
      </c>
      <c s="76">
        <f t="shared" si="65"/>
      </c>
      <c s="75">
        <f t="shared" si="66"/>
      </c>
      <c s="76">
        <f t="shared" si="67"/>
      </c>
      <c s="75">
        <f t="shared" si="68"/>
        <v>3152132.91743469</v>
      </c>
      <c s="76">
        <f t="shared" si="69"/>
        <v>36</v>
      </c>
      <c s="75">
        <f t="shared" si="70"/>
      </c>
      <c s="76">
        <f t="shared" si="71"/>
      </c>
      <c s="75">
        <f t="shared" si="72"/>
      </c>
      <c s="76">
        <f t="shared" si="73"/>
      </c>
      <c s="75">
        <f t="shared" si="85"/>
      </c>
      <c s="76">
        <f t="shared" si="74"/>
      </c>
      <c s="65" t="str">
        <f t="shared" si="75"/>
        <v>Shaws</v>
      </c>
      <c s="65" t="str">
        <f t="shared" si="76"/>
        <v>GroceryX</v>
      </c>
      <c s="72" t="str">
        <f>IF('[1]Leakage Tree Data'!A83&lt;&gt;"",'[1]Leakage Tree Data'!A83,"")</f>
        <v>Total US - Shaws</v>
      </c>
      <c s="72" t="str">
        <f>IF('[1]Leakage Tree Data'!B83&lt;&gt;"",'[1]Leakage Tree Data'!B83,"")</f>
        <v>Total US - GroceryX</v>
      </c>
      <c s="72">
        <f>IF('[1]Leakage Tree Data'!C83&lt;&gt;"",'[1]Leakage Tree Data'!C83,"")</f>
        <v>121171760.292236</v>
      </c>
      <c s="72">
        <f>IF('[1]Leakage Tree Data'!D83&lt;&gt;"",'[1]Leakage Tree Data'!D83,"")</f>
        <v>2286847.35144043</v>
      </c>
      <c s="72">
        <f>IF('[1]Leakage Tree Data'!E83&lt;&gt;"",'[1]Leakage Tree Data'!E83,"")</f>
        <v>1.88727748604553</v>
      </c>
      <c s="72">
        <f>IF('[1]Leakage Tree Data'!F83&lt;&gt;"",'[1]Leakage Tree Data'!F83,"")</f>
        <v>118884912.940796</v>
      </c>
      <c s="72">
        <f>IF('[1]Leakage Tree Data'!G83&lt;&gt;"",'[1]Leakage Tree Data'!G83,"")</f>
        <v>98.1127225139545</v>
      </c>
      <c s="72">
        <f>IF('[1]Leakage Tree Data'!H83&lt;&gt;"",'[1]Leakage Tree Data'!H83,"")</f>
        <v>61518209.9918823</v>
      </c>
      <c s="72" t="str">
        <f>IF('[1]Leakage Tree Data'!I83&lt;&gt;"",'[1]Leakage Tree Data'!I83,"")</f>
        <v>GroceryX</v>
      </c>
      <c s="72">
        <f>IF('[1]Leakage Tree Data'!J83&lt;&gt;"",'[1]Leakage Tree Data'!J83,"")</f>
        <v>99.4180448879004</v>
      </c>
      <c s="72">
        <f>IF('[1]Leakage Tree Data'!K83&lt;&gt;"",'[1]Leakage Tree Data'!K83,"")</f>
        <v>358008.367919922</v>
      </c>
      <c s="72">
        <f>IF('[1]Leakage Tree Data'!L83&lt;&gt;"",'[1]Leakage Tree Data'!L83,"")</f>
      </c>
      <c s="72">
        <f>IF('[1]Leakage Tree Data'!M83&lt;&gt;"",'[1]Leakage Tree Data'!M83,"")</f>
        <v>3152132.91743469</v>
      </c>
      <c s="72">
        <f>IF('[1]Leakage Tree Data'!N83&lt;&gt;"",'[1]Leakage Tree Data'!N83,"")</f>
      </c>
      <c s="72">
        <f>IF('[1]Leakage Tree Data'!O83&lt;&gt;"",'[1]Leakage Tree Data'!O83,"")</f>
        <v>31.9538840210669</v>
      </c>
      <c s="72">
        <f>IF('[1]Leakage Tree Data'!P83&lt;&gt;"",'[1]Leakage Tree Data'!P83,"")</f>
        <v>379889.614043966</v>
      </c>
      <c s="72">
        <f>IF('[1]Leakage Tree Data'!Q83&lt;&gt;"",'[1]Leakage Tree Data'!Q83,"")</f>
      </c>
      <c s="72">
        <f>IF('[1]Leakage Tree Data'!R83&lt;&gt;"",'[1]Leakage Tree Data'!R83,"")</f>
        <v>1017625.85098267</v>
      </c>
      <c s="72">
        <f>IF('[1]Leakage Tree Data'!S83&lt;&gt;"",'[1]Leakage Tree Data'!S83,"")</f>
        <v>-168149.018432617</v>
      </c>
      <c s="72">
        <f>IF('[1]Leakage Tree Data'!T83&lt;&gt;"",'[1]Leakage Tree Data'!T83,"")</f>
        <v>-0.155928418844376</v>
      </c>
      <c s="72">
        <f>IF('[1]Leakage Tree Data'!U83&lt;&gt;"",'[1]Leakage Tree Data'!U83,"")</f>
        <v>1185774.86941528</v>
      </c>
      <c s="72">
        <f>IF('[1]Leakage Tree Data'!V83&lt;&gt;"",'[1]Leakage Tree Data'!V83,"")</f>
        <v>0.155928418844368</v>
      </c>
      <c s="72">
        <f>IF('[1]Leakage Tree Data'!W83&lt;&gt;"",'[1]Leakage Tree Data'!W83,"")</f>
        <v>-1855949.2237854</v>
      </c>
      <c s="72">
        <f>IF('[1]Leakage Tree Data'!X83&lt;&gt;"",'[1]Leakage Tree Data'!X83,"")</f>
      </c>
      <c s="72">
        <f>IF('[1]Leakage Tree Data'!Y83&lt;&gt;"",'[1]Leakage Tree Data'!Y83,"")</f>
        <v>-0.0387145621604787</v>
      </c>
      <c s="72">
        <f>IF('[1]Leakage Tree Data'!Z83&lt;&gt;"",'[1]Leakage Tree Data'!Z83,"")</f>
        <v>13734.2368774414</v>
      </c>
      <c s="72">
        <f>IF('[1]Leakage Tree Data'!AA83&lt;&gt;"",'[1]Leakage Tree Data'!AA83,"")</f>
      </c>
      <c s="72">
        <f>IF('[1]Leakage Tree Data'!AB83&lt;&gt;"",'[1]Leakage Tree Data'!AB83,"")</f>
        <v>-176291.255844116</v>
      </c>
      <c s="72">
        <f>IF('[1]Leakage Tree Data'!AC83&lt;&gt;"",'[1]Leakage Tree Data'!AC83,"")</f>
      </c>
      <c s="72">
        <f>IF('[1]Leakage Tree Data'!AD83&lt;&gt;"",'[1]Leakage Tree Data'!AD83,"")</f>
        <v>0.915728557604982</v>
      </c>
      <c s="72">
        <f>IF('[1]Leakage Tree Data'!AE83&lt;&gt;"",'[1]Leakage Tree Data'!AE83,"")</f>
      </c>
      <c s="73">
        <f t="shared" si="77"/>
      </c>
      <c s="73">
        <f t="shared" si="78"/>
      </c>
      <c s="73">
        <f t="shared" si="79"/>
      </c>
      <c s="73">
        <f t="shared" si="80"/>
      </c>
      <c s="74">
        <f t="shared" si="81"/>
      </c>
      <c s="74">
        <f t="shared" si="82"/>
      </c>
      <c s="69" t="str">
        <f t="shared" si="55"/>
        <v>Total US - Shaws</v>
      </c>
      <c s="69" t="str">
        <f t="shared" si="56"/>
        <v>Total US - GroceryX</v>
      </c>
      <c s="77"/>
    </row>
    <row r="185" spans="1:141" ht="15">
      <c r="A18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3"/>
      </c>
      <c s="75">
        <f t="shared" si="57"/>
      </c>
      <c s="76">
        <f t="shared" si="58"/>
      </c>
      <c s="75">
        <f t="shared" si="59"/>
      </c>
      <c s="76">
        <f t="shared" si="60"/>
      </c>
      <c s="75">
        <f t="shared" si="61"/>
      </c>
      <c s="76">
        <f t="shared" si="62"/>
      </c>
      <c s="75">
        <f t="shared" si="63"/>
      </c>
      <c s="76">
        <f t="shared" si="64"/>
      </c>
      <c s="75">
        <f t="shared" si="84"/>
      </c>
      <c s="76">
        <f t="shared" si="65"/>
      </c>
      <c s="75">
        <f t="shared" si="66"/>
      </c>
      <c s="76">
        <f t="shared" si="67"/>
      </c>
      <c s="75">
        <f t="shared" si="68"/>
        <v>967988.243804932</v>
      </c>
      <c s="76">
        <f t="shared" si="69"/>
        <v>52</v>
      </c>
      <c s="75">
        <f t="shared" si="70"/>
      </c>
      <c s="76">
        <f t="shared" si="71"/>
      </c>
      <c s="75">
        <f t="shared" si="72"/>
      </c>
      <c s="76">
        <f t="shared" si="73"/>
      </c>
      <c s="75">
        <f t="shared" si="85"/>
      </c>
      <c s="76">
        <f t="shared" si="74"/>
      </c>
      <c s="65" t="str">
        <f t="shared" si="75"/>
        <v>Shop N Save</v>
      </c>
      <c s="65" t="str">
        <f t="shared" si="76"/>
        <v>GroceryX</v>
      </c>
      <c s="72" t="str">
        <f>IF('[1]Leakage Tree Data'!A84&lt;&gt;"",'[1]Leakage Tree Data'!A84,"")</f>
        <v>Total US - Shop N Save</v>
      </c>
      <c s="72" t="str">
        <f>IF('[1]Leakage Tree Data'!B84&lt;&gt;"",'[1]Leakage Tree Data'!B84,"")</f>
        <v>Total US - GroceryX</v>
      </c>
      <c s="72">
        <f>IF('[1]Leakage Tree Data'!C84&lt;&gt;"",'[1]Leakage Tree Data'!C84,"")</f>
        <v>121171760.292236</v>
      </c>
      <c s="72">
        <f>IF('[1]Leakage Tree Data'!D84&lt;&gt;"",'[1]Leakage Tree Data'!D84,"")</f>
        <v>832451.357116699</v>
      </c>
      <c s="72">
        <f>IF('[1]Leakage Tree Data'!E84&lt;&gt;"",'[1]Leakage Tree Data'!E84,"")</f>
        <v>0.687001125599754</v>
      </c>
      <c s="72">
        <f>IF('[1]Leakage Tree Data'!F84&lt;&gt;"",'[1]Leakage Tree Data'!F84,"")</f>
        <v>120339308.93512</v>
      </c>
      <c s="72">
        <f>IF('[1]Leakage Tree Data'!G84&lt;&gt;"",'[1]Leakage Tree Data'!G84,"")</f>
        <v>99.3129988744003</v>
      </c>
      <c s="72">
        <f>IF('[1]Leakage Tree Data'!H84&lt;&gt;"",'[1]Leakage Tree Data'!H84,"")</f>
        <v>61518209.9918823</v>
      </c>
      <c s="72" t="str">
        <f>IF('[1]Leakage Tree Data'!I84&lt;&gt;"",'[1]Leakage Tree Data'!I84,"")</f>
        <v>GroceryX</v>
      </c>
      <c s="72">
        <f>IF('[1]Leakage Tree Data'!J84&lt;&gt;"",'[1]Leakage Tree Data'!J84,"")</f>
        <v>99.7841751156148</v>
      </c>
      <c s="72">
        <f>IF('[1]Leakage Tree Data'!K84&lt;&gt;"",'[1]Leakage Tree Data'!K84,"")</f>
        <v>132771.60559082</v>
      </c>
      <c s="72">
        <f>IF('[1]Leakage Tree Data'!L84&lt;&gt;"",'[1]Leakage Tree Data'!L84,"")</f>
      </c>
      <c s="72">
        <f>IF('[1]Leakage Tree Data'!M84&lt;&gt;"",'[1]Leakage Tree Data'!M84,"")</f>
        <v>967988.243804932</v>
      </c>
      <c s="72">
        <f>IF('[1]Leakage Tree Data'!N84&lt;&gt;"",'[1]Leakage Tree Data'!N84,"")</f>
      </c>
      <c s="72">
        <f>IF('[1]Leakage Tree Data'!O84&lt;&gt;"",'[1]Leakage Tree Data'!O84,"")</f>
        <v>22.4132412207099</v>
      </c>
      <c s="72">
        <f>IF('[1]Leakage Tree Data'!P84&lt;&gt;"",'[1]Leakage Tree Data'!P84,"")</f>
        <v>130602.883539479</v>
      </c>
      <c s="72">
        <f>IF('[1]Leakage Tree Data'!Q84&lt;&gt;"",'[1]Leakage Tree Data'!Q84,"")</f>
      </c>
      <c s="72">
        <f>IF('[1]Leakage Tree Data'!R84&lt;&gt;"",'[1]Leakage Tree Data'!R84,"")</f>
        <v>1017625.85098267</v>
      </c>
      <c s="72">
        <f>IF('[1]Leakage Tree Data'!S84&lt;&gt;"",'[1]Leakage Tree Data'!S84,"")</f>
        <v>-22056.0302124023</v>
      </c>
      <c s="72">
        <f>IF('[1]Leakage Tree Data'!T84&lt;&gt;"",'[1]Leakage Tree Data'!T84,"")</f>
        <v>-0.0241748911913215</v>
      </c>
      <c s="72">
        <f>IF('[1]Leakage Tree Data'!U84&lt;&gt;"",'[1]Leakage Tree Data'!U84,"")</f>
        <v>1039681.88119507</v>
      </c>
      <c s="72">
        <f>IF('[1]Leakage Tree Data'!V84&lt;&gt;"",'[1]Leakage Tree Data'!V84,"")</f>
        <v>0.024174891191322</v>
      </c>
      <c s="72">
        <f>IF('[1]Leakage Tree Data'!W84&lt;&gt;"",'[1]Leakage Tree Data'!W84,"")</f>
        <v>-1855949.2237854</v>
      </c>
      <c s="72">
        <f>IF('[1]Leakage Tree Data'!X84&lt;&gt;"",'[1]Leakage Tree Data'!X84,"")</f>
      </c>
      <c s="72">
        <f>IF('[1]Leakage Tree Data'!Y84&lt;&gt;"",'[1]Leakage Tree Data'!Y84,"")</f>
        <v>0.0208092134712103</v>
      </c>
      <c s="72">
        <f>IF('[1]Leakage Tree Data'!Z84&lt;&gt;"",'[1]Leakage Tree Data'!Z84,"")</f>
        <v>-17193.2643432617</v>
      </c>
      <c s="72">
        <f>IF('[1]Leakage Tree Data'!AA84&lt;&gt;"",'[1]Leakage Tree Data'!AA84,"")</f>
      </c>
      <c s="72">
        <f>IF('[1]Leakage Tree Data'!AB84&lt;&gt;"",'[1]Leakage Tree Data'!AB84,"")</f>
        <v>-688063.853134155</v>
      </c>
      <c s="72">
        <f>IF('[1]Leakage Tree Data'!AC84&lt;&gt;"",'[1]Leakage Tree Data'!AC84,"")</f>
      </c>
      <c s="72">
        <f>IF('[1]Leakage Tree Data'!AD84&lt;&gt;"",'[1]Leakage Tree Data'!AD84,"")</f>
        <v>-2.1052959980648</v>
      </c>
      <c s="72">
        <f>IF('[1]Leakage Tree Data'!AE84&lt;&gt;"",'[1]Leakage Tree Data'!AE84,"")</f>
      </c>
      <c s="73">
        <f t="shared" si="77"/>
      </c>
      <c s="73">
        <f t="shared" si="78"/>
      </c>
      <c s="73">
        <f t="shared" si="79"/>
      </c>
      <c s="73">
        <f t="shared" si="80"/>
      </c>
      <c s="74">
        <f t="shared" si="81"/>
      </c>
      <c s="74">
        <f t="shared" si="82"/>
      </c>
      <c s="69" t="str">
        <f t="shared" si="55"/>
        <v>Total US - Shop N Save</v>
      </c>
      <c s="69" t="str">
        <f t="shared" si="56"/>
        <v>Total US - GroceryX</v>
      </c>
      <c s="77"/>
    </row>
    <row r="186" spans="1:141" ht="15">
      <c r="A18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3"/>
      </c>
      <c s="75">
        <f t="shared" si="57"/>
      </c>
      <c s="76">
        <f t="shared" si="58"/>
      </c>
      <c s="75">
        <f t="shared" si="59"/>
        <v>8893623.20611572</v>
      </c>
      <c s="76">
        <f t="shared" si="60"/>
        <v>3</v>
      </c>
      <c s="75">
        <f t="shared" si="61"/>
      </c>
      <c s="76">
        <f t="shared" si="62"/>
      </c>
      <c s="75">
        <f t="shared" si="63"/>
      </c>
      <c s="76">
        <f t="shared" si="64"/>
      </c>
      <c s="75">
        <f t="shared" si="84"/>
      </c>
      <c s="76">
        <f t="shared" si="65"/>
      </c>
      <c s="75">
        <f t="shared" si="66"/>
      </c>
      <c s="76">
        <f t="shared" si="67"/>
      </c>
      <c s="75">
        <f t="shared" si="68"/>
        <v>49893002.499836</v>
      </c>
      <c s="76">
        <f t="shared" si="69"/>
        <v>2</v>
      </c>
      <c s="75">
        <f t="shared" si="70"/>
      </c>
      <c s="76">
        <f t="shared" si="71"/>
      </c>
      <c s="75">
        <f t="shared" si="72"/>
      </c>
      <c s="76">
        <f t="shared" si="73"/>
      </c>
      <c s="75">
        <f t="shared" si="85"/>
      </c>
      <c s="76">
        <f t="shared" si="74"/>
      </c>
      <c s="65" t="str">
        <f t="shared" si="75"/>
        <v>Shop Rite</v>
      </c>
      <c s="65" t="str">
        <f t="shared" si="76"/>
        <v>GroceryX</v>
      </c>
      <c s="72" t="str">
        <f>IF('[1]Leakage Tree Data'!A85&lt;&gt;"",'[1]Leakage Tree Data'!A85,"")</f>
        <v>Total US - Shop Rite</v>
      </c>
      <c s="72" t="str">
        <f>IF('[1]Leakage Tree Data'!B85&lt;&gt;"",'[1]Leakage Tree Data'!B85,"")</f>
        <v>Total US - GroceryX</v>
      </c>
      <c s="72">
        <f>IF('[1]Leakage Tree Data'!C85&lt;&gt;"",'[1]Leakage Tree Data'!C85,"")</f>
        <v>121171760.292236</v>
      </c>
      <c s="72">
        <f>IF('[1]Leakage Tree Data'!D85&lt;&gt;"",'[1]Leakage Tree Data'!D85,"")</f>
        <v>7402749.77325439</v>
      </c>
      <c s="72">
        <f>IF('[1]Leakage Tree Data'!E85&lt;&gt;"",'[1]Leakage Tree Data'!E85,"")</f>
        <v>6.10930282385994</v>
      </c>
      <c s="72">
        <f>IF('[1]Leakage Tree Data'!F85&lt;&gt;"",'[1]Leakage Tree Data'!F85,"")</f>
        <v>113769010.518982</v>
      </c>
      <c s="72">
        <f>IF('[1]Leakage Tree Data'!G85&lt;&gt;"",'[1]Leakage Tree Data'!G85,"")</f>
        <v>93.8906971761401</v>
      </c>
      <c s="72">
        <f>IF('[1]Leakage Tree Data'!H85&lt;&gt;"",'[1]Leakage Tree Data'!H85,"")</f>
        <v>61518209.9918823</v>
      </c>
      <c s="72" t="str">
        <f>IF('[1]Leakage Tree Data'!I85&lt;&gt;"",'[1]Leakage Tree Data'!I85,"")</f>
        <v>GroceryX</v>
      </c>
      <c s="72">
        <f>IF('[1]Leakage Tree Data'!J85&lt;&gt;"",'[1]Leakage Tree Data'!J85,"")</f>
        <v>96.0793225106172</v>
      </c>
      <c s="72">
        <f>IF('[1]Leakage Tree Data'!K85&lt;&gt;"",'[1]Leakage Tree Data'!K85,"")</f>
        <v>2411930.61102295</v>
      </c>
      <c s="72">
        <f>IF('[1]Leakage Tree Data'!L85&lt;&gt;"",'[1]Leakage Tree Data'!L85,"")</f>
        <v>8893623.20611572</v>
      </c>
      <c s="72">
        <f>IF('[1]Leakage Tree Data'!M85&lt;&gt;"",'[1]Leakage Tree Data'!M85,"")</f>
        <v>49893002.499836</v>
      </c>
      <c s="72">
        <f>IF('[1]Leakage Tree Data'!N85&lt;&gt;"",'[1]Leakage Tree Data'!N85,"")</f>
        <v>8893623.20611572</v>
      </c>
      <c s="72">
        <f>IF('[1]Leakage Tree Data'!O85&lt;&gt;"",'[1]Leakage Tree Data'!O85,"")</f>
        <v>60.3427741433036</v>
      </c>
      <c s="72">
        <f>IF('[1]Leakage Tree Data'!P85&lt;&gt;"",'[1]Leakage Tree Data'!P85,"")</f>
        <v>2074027.34202799</v>
      </c>
      <c s="72">
        <f>IF('[1]Leakage Tree Data'!Q85&lt;&gt;"",'[1]Leakage Tree Data'!Q85,"")</f>
      </c>
      <c s="72">
        <f>IF('[1]Leakage Tree Data'!R85&lt;&gt;"",'[1]Leakage Tree Data'!R85,"")</f>
        <v>1017625.85098267</v>
      </c>
      <c s="72">
        <f>IF('[1]Leakage Tree Data'!S85&lt;&gt;"",'[1]Leakage Tree Data'!S85,"")</f>
        <v>201159.17791748</v>
      </c>
      <c s="72">
        <f>IF('[1]Leakage Tree Data'!T85&lt;&gt;"",'[1]Leakage Tree Data'!T85,"")</f>
        <v>0.115675863933774</v>
      </c>
      <c s="72">
        <f>IF('[1]Leakage Tree Data'!U85&lt;&gt;"",'[1]Leakage Tree Data'!U85,"")</f>
        <v>816466.673065186</v>
      </c>
      <c s="72">
        <f>IF('[1]Leakage Tree Data'!V85&lt;&gt;"",'[1]Leakage Tree Data'!V85,"")</f>
        <v>-0.115675863933774</v>
      </c>
      <c s="72">
        <f>IF('[1]Leakage Tree Data'!W85&lt;&gt;"",'[1]Leakage Tree Data'!W85,"")</f>
        <v>-1855949.2237854</v>
      </c>
      <c s="72">
        <f>IF('[1]Leakage Tree Data'!X85&lt;&gt;"",'[1]Leakage Tree Data'!X85,"")</f>
      </c>
      <c s="72">
        <f>IF('[1]Leakage Tree Data'!Y85&lt;&gt;"",'[1]Leakage Tree Data'!Y85,"")</f>
        <v>-0.0540471229883224</v>
      </c>
      <c s="72">
        <f>IF('[1]Leakage Tree Data'!Z85&lt;&gt;"",'[1]Leakage Tree Data'!Z85,"")</f>
        <v>-38513.8736572266</v>
      </c>
      <c s="72">
        <f>IF('[1]Leakage Tree Data'!AA85&lt;&gt;"",'[1]Leakage Tree Data'!AA85,"")</f>
        <v>-3795265.7809906</v>
      </c>
      <c s="72">
        <f>IF('[1]Leakage Tree Data'!AB85&lt;&gt;"",'[1]Leakage Tree Data'!AB85,"")</f>
        <v>-10066591.6927147</v>
      </c>
      <c s="72">
        <f>IF('[1]Leakage Tree Data'!AC85&lt;&gt;"",'[1]Leakage Tree Data'!AC85,"")</f>
        <v>-3795265.7809906</v>
      </c>
      <c s="72">
        <f>IF('[1]Leakage Tree Data'!AD85&lt;&gt;"",'[1]Leakage Tree Data'!AD85,"")</f>
        <v>-0.236857861422699</v>
      </c>
      <c s="72">
        <f>IF('[1]Leakage Tree Data'!AE85&lt;&gt;"",'[1]Leakage Tree Data'!AE85,"")</f>
      </c>
      <c s="73">
        <f t="shared" si="77"/>
      </c>
      <c s="73">
        <f t="shared" si="78"/>
      </c>
      <c s="73">
        <f t="shared" si="79"/>
      </c>
      <c s="73">
        <f t="shared" si="80"/>
      </c>
      <c s="74">
        <f t="shared" si="81"/>
      </c>
      <c s="74">
        <f t="shared" si="82"/>
      </c>
      <c s="69" t="str">
        <f t="shared" si="55"/>
        <v>Total US - Shop Rite</v>
      </c>
      <c s="69" t="str">
        <f t="shared" si="56"/>
        <v>Total US - GroceryX</v>
      </c>
      <c s="77"/>
    </row>
    <row r="187" spans="1:141" ht="15">
      <c r="A18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3"/>
      </c>
      <c s="75">
        <f t="shared" si="57"/>
      </c>
      <c s="76">
        <f t="shared" si="58"/>
      </c>
      <c s="75">
        <f t="shared" si="59"/>
      </c>
      <c s="76">
        <f t="shared" si="60"/>
      </c>
      <c s="75">
        <f t="shared" si="61"/>
      </c>
      <c s="76">
        <f t="shared" si="62"/>
      </c>
      <c s="75">
        <f t="shared" si="63"/>
      </c>
      <c s="76">
        <f t="shared" si="64"/>
      </c>
      <c s="75">
        <f t="shared" si="84"/>
      </c>
      <c s="76">
        <f t="shared" si="65"/>
      </c>
      <c s="75">
        <f t="shared" si="66"/>
      </c>
      <c s="76">
        <f t="shared" si="67"/>
      </c>
      <c s="75">
        <f t="shared" si="68"/>
      </c>
      <c s="76">
        <f t="shared" si="69"/>
      </c>
      <c s="75">
        <f t="shared" si="70"/>
      </c>
      <c s="76">
        <f t="shared" si="71"/>
      </c>
      <c s="75">
        <f t="shared" si="72"/>
      </c>
      <c s="76">
        <f t="shared" si="73"/>
      </c>
      <c s="75">
        <f t="shared" si="85"/>
      </c>
      <c s="76">
        <f t="shared" si="74"/>
      </c>
      <c s="65" t="str">
        <f t="shared" si="75"/>
        <v>Shoppers Food Warehouse</v>
      </c>
      <c s="65" t="str">
        <f t="shared" si="76"/>
        <v>GroceryX</v>
      </c>
      <c s="72" t="str">
        <f>IF('[1]Leakage Tree Data'!A86&lt;&gt;"",'[1]Leakage Tree Data'!A86,"")</f>
        <v>Total US - Shoppers Food Warehouse</v>
      </c>
      <c s="72" t="str">
        <f>IF('[1]Leakage Tree Data'!B86&lt;&gt;"",'[1]Leakage Tree Data'!B86,"")</f>
        <v>Total US - GroceryX</v>
      </c>
      <c s="72">
        <f>IF('[1]Leakage Tree Data'!C86&lt;&gt;"",'[1]Leakage Tree Data'!C86,"")</f>
        <v>121171760.292236</v>
      </c>
      <c s="72">
        <f>IF('[1]Leakage Tree Data'!D86&lt;&gt;"",'[1]Leakage Tree Data'!D86,"")</f>
        <v>1284351.0614624</v>
      </c>
      <c s="72">
        <f>IF('[1]Leakage Tree Data'!E86&lt;&gt;"",'[1]Leakage Tree Data'!E86,"")</f>
        <v>1.05994256282558</v>
      </c>
      <c s="72">
        <f>IF('[1]Leakage Tree Data'!F86&lt;&gt;"",'[1]Leakage Tree Data'!F86,"")</f>
        <v>119887409.230774</v>
      </c>
      <c s="72">
        <f>IF('[1]Leakage Tree Data'!G86&lt;&gt;"",'[1]Leakage Tree Data'!G86,"")</f>
        <v>98.9400574371744</v>
      </c>
      <c s="72">
        <f>IF('[1]Leakage Tree Data'!H86&lt;&gt;"",'[1]Leakage Tree Data'!H86,"")</f>
        <v>61518209.9918823</v>
      </c>
      <c s="72" t="str">
        <f>IF('[1]Leakage Tree Data'!I86&lt;&gt;"",'[1]Leakage Tree Data'!I86,"")</f>
        <v>GroceryX</v>
      </c>
      <c s="72">
        <f>IF('[1]Leakage Tree Data'!J86&lt;&gt;"",'[1]Leakage Tree Data'!J86,"")</f>
        <v>99.8024657482009</v>
      </c>
      <c s="72">
        <f>IF('[1]Leakage Tree Data'!K86&lt;&gt;"",'[1]Leakage Tree Data'!K86,"")</f>
        <v>121519.535827637</v>
      </c>
      <c s="72">
        <f>IF('[1]Leakage Tree Data'!L86&lt;&gt;"",'[1]Leakage Tree Data'!L86,"")</f>
      </c>
      <c s="72">
        <f>IF('[1]Leakage Tree Data'!M86&lt;&gt;"",'[1]Leakage Tree Data'!M86,"")</f>
      </c>
      <c s="72">
        <f>IF('[1]Leakage Tree Data'!N86&lt;&gt;"",'[1]Leakage Tree Data'!N86,"")</f>
      </c>
      <c s="72">
        <f>IF('[1]Leakage Tree Data'!O86&lt;&gt;"",'[1]Leakage Tree Data'!O86,"")</f>
        <v>14.1982161964683</v>
      </c>
      <c s="72">
        <f>IF('[1]Leakage Tree Data'!P86&lt;&gt;"",'[1]Leakage Tree Data'!P86,"")</f>
        <v>188162.104478978</v>
      </c>
      <c s="72">
        <f>IF('[1]Leakage Tree Data'!Q86&lt;&gt;"",'[1]Leakage Tree Data'!Q86,"")</f>
      </c>
      <c s="72">
        <f>IF('[1]Leakage Tree Data'!R86&lt;&gt;"",'[1]Leakage Tree Data'!R86,"")</f>
        <v>1017625.85098267</v>
      </c>
      <c s="72">
        <f>IF('[1]Leakage Tree Data'!S86&lt;&gt;"",'[1]Leakage Tree Data'!S86,"")</f>
        <v>847.352783203125</v>
      </c>
      <c s="72">
        <f>IF('[1]Leakage Tree Data'!T86&lt;&gt;"",'[1]Leakage Tree Data'!T86,"")</f>
        <v>-0.00827178922131688</v>
      </c>
      <c s="72">
        <f>IF('[1]Leakage Tree Data'!U86&lt;&gt;"",'[1]Leakage Tree Data'!U86,"")</f>
        <v>1016778.49819946</v>
      </c>
      <c s="72">
        <f>IF('[1]Leakage Tree Data'!V86&lt;&gt;"",'[1]Leakage Tree Data'!V86,"")</f>
        <v>0.00827178922131111</v>
      </c>
      <c s="72">
        <f>IF('[1]Leakage Tree Data'!W86&lt;&gt;"",'[1]Leakage Tree Data'!W86,"")</f>
        <v>-1855949.2237854</v>
      </c>
      <c s="72">
        <f>IF('[1]Leakage Tree Data'!X86&lt;&gt;"",'[1]Leakage Tree Data'!X86,"")</f>
      </c>
      <c s="72">
        <f>IF('[1]Leakage Tree Data'!Y86&lt;&gt;"",'[1]Leakage Tree Data'!Y86,"")</f>
        <v>0.00755812160572589</v>
      </c>
      <c s="72">
        <f>IF('[1]Leakage Tree Data'!Z86&lt;&gt;"",'[1]Leakage Tree Data'!Z86,"")</f>
        <v>-8456.03143310547</v>
      </c>
      <c s="72">
        <f>IF('[1]Leakage Tree Data'!AA86&lt;&gt;"",'[1]Leakage Tree Data'!AA86,"")</f>
      </c>
      <c s="72">
        <f>IF('[1]Leakage Tree Data'!AB86&lt;&gt;"",'[1]Leakage Tree Data'!AB86,"")</f>
      </c>
      <c s="72">
        <f>IF('[1]Leakage Tree Data'!AC86&lt;&gt;"",'[1]Leakage Tree Data'!AC86,"")</f>
      </c>
      <c s="72">
        <f>IF('[1]Leakage Tree Data'!AD86&lt;&gt;"",'[1]Leakage Tree Data'!AD86,"")</f>
        <v>-0.917964189743431</v>
      </c>
      <c s="72">
        <f>IF('[1]Leakage Tree Data'!AE86&lt;&gt;"",'[1]Leakage Tree Data'!AE86,"")</f>
      </c>
      <c s="73">
        <f t="shared" si="77"/>
      </c>
      <c s="73">
        <f t="shared" si="78"/>
      </c>
      <c s="73">
        <f t="shared" si="79"/>
      </c>
      <c s="73">
        <f t="shared" si="80"/>
      </c>
      <c s="74">
        <f t="shared" si="81"/>
      </c>
      <c s="74">
        <f t="shared" si="82"/>
      </c>
      <c s="69" t="str">
        <f t="shared" si="55"/>
        <v>Total US - Shoppers Food Warehouse</v>
      </c>
      <c s="69" t="str">
        <f t="shared" si="56"/>
        <v>Total US - GroceryX</v>
      </c>
      <c s="77"/>
    </row>
    <row r="188" spans="1:141" ht="15">
      <c r="A18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3"/>
      </c>
      <c s="75">
        <f t="shared" si="57"/>
      </c>
      <c s="76">
        <f t="shared" si="58"/>
      </c>
      <c s="75">
        <f t="shared" si="59"/>
        <v>1567163.83093262</v>
      </c>
      <c s="76">
        <f t="shared" si="60"/>
        <v>30</v>
      </c>
      <c s="75">
        <f t="shared" si="61"/>
      </c>
      <c s="76">
        <f t="shared" si="62"/>
      </c>
      <c s="75">
        <f t="shared" si="63"/>
      </c>
      <c s="76">
        <f t="shared" si="64"/>
      </c>
      <c s="75">
        <f t="shared" si="84"/>
      </c>
      <c s="76">
        <f t="shared" si="65"/>
      </c>
      <c s="75">
        <f t="shared" si="66"/>
      </c>
      <c s="76">
        <f t="shared" si="67"/>
      </c>
      <c s="75">
        <f t="shared" si="68"/>
        <v>4056201.3460083</v>
      </c>
      <c s="76">
        <f t="shared" si="69"/>
        <v>34</v>
      </c>
      <c s="75">
        <f t="shared" si="70"/>
      </c>
      <c s="76">
        <f t="shared" si="71"/>
      </c>
      <c s="75">
        <f t="shared" si="72"/>
      </c>
      <c s="76">
        <f t="shared" si="73"/>
      </c>
      <c s="75">
        <f t="shared" si="85"/>
      </c>
      <c s="76">
        <f t="shared" si="74"/>
      </c>
      <c s="65" t="str">
        <f t="shared" si="75"/>
        <v>Smart &amp; Final</v>
      </c>
      <c s="65" t="str">
        <f t="shared" si="76"/>
        <v>GroceryX</v>
      </c>
      <c s="72" t="str">
        <f>IF('[1]Leakage Tree Data'!A87&lt;&gt;"",'[1]Leakage Tree Data'!A87,"")</f>
        <v>Total US - Smart &amp; Final</v>
      </c>
      <c s="72" t="str">
        <f>IF('[1]Leakage Tree Data'!B87&lt;&gt;"",'[1]Leakage Tree Data'!B87,"")</f>
        <v>Total US - GroceryX</v>
      </c>
      <c s="72">
        <f>IF('[1]Leakage Tree Data'!C87&lt;&gt;"",'[1]Leakage Tree Data'!C87,"")</f>
        <v>121171760.292236</v>
      </c>
      <c s="72">
        <f>IF('[1]Leakage Tree Data'!D87&lt;&gt;"",'[1]Leakage Tree Data'!D87,"")</f>
        <v>4983670.36181641</v>
      </c>
      <c s="72">
        <f>IF('[1]Leakage Tree Data'!E87&lt;&gt;"",'[1]Leakage Tree Data'!E87,"")</f>
        <v>4.11289755120915</v>
      </c>
      <c s="72">
        <f>IF('[1]Leakage Tree Data'!F87&lt;&gt;"",'[1]Leakage Tree Data'!F87,"")</f>
        <v>116188089.93042</v>
      </c>
      <c s="72">
        <f>IF('[1]Leakage Tree Data'!G87&lt;&gt;"",'[1]Leakage Tree Data'!G87,"")</f>
        <v>95.8871024487909</v>
      </c>
      <c s="72">
        <f>IF('[1]Leakage Tree Data'!H87&lt;&gt;"",'[1]Leakage Tree Data'!H87,"")</f>
        <v>61518209.9918823</v>
      </c>
      <c s="72" t="str">
        <f>IF('[1]Leakage Tree Data'!I87&lt;&gt;"",'[1]Leakage Tree Data'!I87,"")</f>
        <v>GroceryX</v>
      </c>
      <c s="72">
        <f>IF('[1]Leakage Tree Data'!J87&lt;&gt;"",'[1]Leakage Tree Data'!J87,"")</f>
        <v>99.4194529555566</v>
      </c>
      <c s="72">
        <f>IF('[1]Leakage Tree Data'!K87&lt;&gt;"",'[1]Leakage Tree Data'!K87,"")</f>
        <v>357142.149902344</v>
      </c>
      <c s="72">
        <f>IF('[1]Leakage Tree Data'!L87&lt;&gt;"",'[1]Leakage Tree Data'!L87,"")</f>
        <v>1567163.83093262</v>
      </c>
      <c s="72">
        <f>IF('[1]Leakage Tree Data'!M87&lt;&gt;"",'[1]Leakage Tree Data'!M87,"")</f>
        <v>4056201.3460083</v>
      </c>
      <c s="72">
        <f>IF('[1]Leakage Tree Data'!N87&lt;&gt;"",'[1]Leakage Tree Data'!N87,"")</f>
        <v>1567163.83093262</v>
      </c>
      <c s="72">
        <f>IF('[1]Leakage Tree Data'!O87&lt;&gt;"",'[1]Leakage Tree Data'!O87,"")</f>
        <v>9.91365571496238</v>
      </c>
      <c s="72">
        <f>IF('[1]Leakage Tree Data'!P87&lt;&gt;"",'[1]Leakage Tree Data'!P87,"")</f>
        <v>702390.222367713</v>
      </c>
      <c s="72">
        <f>IF('[1]Leakage Tree Data'!Q87&lt;&gt;"",'[1]Leakage Tree Data'!Q87,"")</f>
      </c>
      <c s="72">
        <f>IF('[1]Leakage Tree Data'!R87&lt;&gt;"",'[1]Leakage Tree Data'!R87,"")</f>
        <v>1017625.85098267</v>
      </c>
      <c s="72">
        <f>IF('[1]Leakage Tree Data'!S87&lt;&gt;"",'[1]Leakage Tree Data'!S87,"")</f>
        <v>504426.083251953</v>
      </c>
      <c s="72">
        <f>IF('[1]Leakage Tree Data'!T87&lt;&gt;"",'[1]Leakage Tree Data'!T87,"")</f>
        <v>0.384982320165253</v>
      </c>
      <c s="72">
        <f>IF('[1]Leakage Tree Data'!U87&lt;&gt;"",'[1]Leakage Tree Data'!U87,"")</f>
        <v>513199.767730713</v>
      </c>
      <c s="72">
        <f>IF('[1]Leakage Tree Data'!V87&lt;&gt;"",'[1]Leakage Tree Data'!V87,"")</f>
        <v>-0.38498232016525</v>
      </c>
      <c s="72">
        <f>IF('[1]Leakage Tree Data'!W87&lt;&gt;"",'[1]Leakage Tree Data'!W87,"")</f>
        <v>-1855949.2237854</v>
      </c>
      <c s="72">
        <f>IF('[1]Leakage Tree Data'!X87&lt;&gt;"",'[1]Leakage Tree Data'!X87,"")</f>
      </c>
      <c s="72">
        <f>IF('[1]Leakage Tree Data'!Y87&lt;&gt;"",'[1]Leakage Tree Data'!Y87,"")</f>
        <v>-0.119882205270642</v>
      </c>
      <c s="72">
        <f>IF('[1]Leakage Tree Data'!Z87&lt;&gt;"",'[1]Leakage Tree Data'!Z87,"")</f>
        <v>65199.6812744141</v>
      </c>
      <c s="72">
        <f>IF('[1]Leakage Tree Data'!AA87&lt;&gt;"",'[1]Leakage Tree Data'!AA87,"")</f>
        <v>198737.271118164</v>
      </c>
      <c s="72">
        <f>IF('[1]Leakage Tree Data'!AB87&lt;&gt;"",'[1]Leakage Tree Data'!AB87,"")</f>
        <v>749545.241649628</v>
      </c>
      <c s="72">
        <f>IF('[1]Leakage Tree Data'!AC87&lt;&gt;"",'[1]Leakage Tree Data'!AC87,"")</f>
        <v>198737.271118164</v>
      </c>
      <c s="72">
        <f>IF('[1]Leakage Tree Data'!AD87&lt;&gt;"",'[1]Leakage Tree Data'!AD87,"")</f>
        <v>0.651435761029122</v>
      </c>
      <c s="72">
        <f>IF('[1]Leakage Tree Data'!AE87&lt;&gt;"",'[1]Leakage Tree Data'!AE87,"")</f>
      </c>
      <c s="73">
        <f t="shared" si="77"/>
      </c>
      <c s="73">
        <f t="shared" si="78"/>
      </c>
      <c s="73">
        <f t="shared" si="79"/>
      </c>
      <c s="73">
        <f t="shared" si="80"/>
      </c>
      <c s="74">
        <f t="shared" si="81"/>
      </c>
      <c s="74">
        <f t="shared" si="82"/>
      </c>
      <c s="69" t="str">
        <f t="shared" si="55"/>
        <v>Total US - Smart &amp; Final</v>
      </c>
      <c s="69" t="str">
        <f t="shared" si="56"/>
        <v>Total US - GroceryX</v>
      </c>
      <c s="77"/>
    </row>
    <row r="189" spans="1:141" ht="15">
      <c r="A18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3"/>
      </c>
      <c s="75">
        <f t="shared" si="57"/>
      </c>
      <c s="76">
        <f t="shared" si="58"/>
      </c>
      <c s="75">
        <f t="shared" si="59"/>
        <v>2078244.84509277</v>
      </c>
      <c s="76">
        <f t="shared" si="60"/>
        <v>21</v>
      </c>
      <c s="75">
        <f t="shared" si="61"/>
      </c>
      <c s="76">
        <f t="shared" si="62"/>
      </c>
      <c s="75">
        <f t="shared" si="63"/>
      </c>
      <c s="76">
        <f t="shared" si="64"/>
      </c>
      <c s="75">
        <f t="shared" si="84"/>
      </c>
      <c s="76">
        <f t="shared" si="65"/>
      </c>
      <c s="75">
        <f t="shared" si="66"/>
      </c>
      <c s="76">
        <f t="shared" si="67"/>
      </c>
      <c s="75">
        <f t="shared" si="68"/>
        <v>5901943.52166748</v>
      </c>
      <c s="76">
        <f t="shared" si="69"/>
        <v>27</v>
      </c>
      <c s="75">
        <f t="shared" si="70"/>
      </c>
      <c s="76">
        <f t="shared" si="71"/>
      </c>
      <c s="75">
        <f t="shared" si="72"/>
      </c>
      <c s="76">
        <f t="shared" si="73"/>
      </c>
      <c s="75">
        <f t="shared" si="85"/>
      </c>
      <c s="76">
        <f t="shared" si="74"/>
      </c>
      <c s="65" t="str">
        <f t="shared" si="75"/>
        <v>Smiths Food &amp; Drug</v>
      </c>
      <c s="65" t="str">
        <f t="shared" si="76"/>
        <v>GroceryX</v>
      </c>
      <c s="72" t="str">
        <f>IF('[1]Leakage Tree Data'!A88&lt;&gt;"",'[1]Leakage Tree Data'!A88,"")</f>
        <v>Total US - Smiths Food &amp; Drug</v>
      </c>
      <c s="72" t="str">
        <f>IF('[1]Leakage Tree Data'!B88&lt;&gt;"",'[1]Leakage Tree Data'!B88,"")</f>
        <v>Total US - GroceryX</v>
      </c>
      <c s="72">
        <f>IF('[1]Leakage Tree Data'!C88&lt;&gt;"",'[1]Leakage Tree Data'!C88,"")</f>
        <v>121171760.292236</v>
      </c>
      <c s="72">
        <f>IF('[1]Leakage Tree Data'!D88&lt;&gt;"",'[1]Leakage Tree Data'!D88,"")</f>
        <v>2524546.98620605</v>
      </c>
      <c s="72">
        <f>IF('[1]Leakage Tree Data'!E88&lt;&gt;"",'[1]Leakage Tree Data'!E88,"")</f>
        <v>2.08344500411438</v>
      </c>
      <c s="72">
        <f>IF('[1]Leakage Tree Data'!F88&lt;&gt;"",'[1]Leakage Tree Data'!F88,"")</f>
        <v>118647213.30603</v>
      </c>
      <c s="72">
        <f>IF('[1]Leakage Tree Data'!G88&lt;&gt;"",'[1]Leakage Tree Data'!G88,"")</f>
        <v>97.9165549958856</v>
      </c>
      <c s="72">
        <f>IF('[1]Leakage Tree Data'!H88&lt;&gt;"",'[1]Leakage Tree Data'!H88,"")</f>
        <v>61518209.9918823</v>
      </c>
      <c s="72" t="str">
        <f>IF('[1]Leakage Tree Data'!I88&lt;&gt;"",'[1]Leakage Tree Data'!I88,"")</f>
        <v>GroceryX</v>
      </c>
      <c s="72">
        <f>IF('[1]Leakage Tree Data'!J88&lt;&gt;"",'[1]Leakage Tree Data'!J88,"")</f>
        <v>99.2109625114258</v>
      </c>
      <c s="72">
        <f>IF('[1]Leakage Tree Data'!K88&lt;&gt;"",'[1]Leakage Tree Data'!K88,"")</f>
        <v>485401.739135742</v>
      </c>
      <c s="72">
        <f>IF('[1]Leakage Tree Data'!L88&lt;&gt;"",'[1]Leakage Tree Data'!L88,"")</f>
        <v>2078244.84509277</v>
      </c>
      <c s="72">
        <f>IF('[1]Leakage Tree Data'!M88&lt;&gt;"",'[1]Leakage Tree Data'!M88,"")</f>
        <v>5901943.52166748</v>
      </c>
      <c s="72">
        <f>IF('[1]Leakage Tree Data'!N88&lt;&gt;"",'[1]Leakage Tree Data'!N88,"")</f>
        <v>2078244.84509277</v>
      </c>
      <c s="72">
        <f>IF('[1]Leakage Tree Data'!O88&lt;&gt;"",'[1]Leakage Tree Data'!O88,"")</f>
        <v>39.7951156518398</v>
      </c>
      <c s="72">
        <f>IF('[1]Leakage Tree Data'!P88&lt;&gt;"",'[1]Leakage Tree Data'!P88,"")</f>
        <v>563442.189853838</v>
      </c>
      <c s="72">
        <f>IF('[1]Leakage Tree Data'!Q88&lt;&gt;"",'[1]Leakage Tree Data'!Q88,"")</f>
      </c>
      <c s="72">
        <f>IF('[1]Leakage Tree Data'!R88&lt;&gt;"",'[1]Leakage Tree Data'!R88,"")</f>
        <v>1017625.85098267</v>
      </c>
      <c s="72">
        <f>IF('[1]Leakage Tree Data'!S88&lt;&gt;"",'[1]Leakage Tree Data'!S88,"")</f>
        <v>-22005.8948974609</v>
      </c>
      <c s="72">
        <f>IF('[1]Leakage Tree Data'!T88&lt;&gt;"",'[1]Leakage Tree Data'!T88,"")</f>
        <v>-0.0359601191014041</v>
      </c>
      <c s="72">
        <f>IF('[1]Leakage Tree Data'!U88&lt;&gt;"",'[1]Leakage Tree Data'!U88,"")</f>
        <v>1039631.74588013</v>
      </c>
      <c s="72">
        <f>IF('[1]Leakage Tree Data'!V88&lt;&gt;"",'[1]Leakage Tree Data'!V88,"")</f>
        <v>0.0359601191014036</v>
      </c>
      <c s="72">
        <f>IF('[1]Leakage Tree Data'!W88&lt;&gt;"",'[1]Leakage Tree Data'!W88,"")</f>
        <v>-1855949.2237854</v>
      </c>
      <c s="72">
        <f>IF('[1]Leakage Tree Data'!X88&lt;&gt;"",'[1]Leakage Tree Data'!X88,"")</f>
      </c>
      <c s="72">
        <f>IF('[1]Leakage Tree Data'!Y88&lt;&gt;"",'[1]Leakage Tree Data'!Y88,"")</f>
        <v>-0.00435171290169478</v>
      </c>
      <c s="72">
        <f>IF('[1]Leakage Tree Data'!Z88&lt;&gt;"",'[1]Leakage Tree Data'!Z88,"")</f>
        <v>-11886.2736816406</v>
      </c>
      <c s="72">
        <f>IF('[1]Leakage Tree Data'!AA88&lt;&gt;"",'[1]Leakage Tree Data'!AA88,"")</f>
        <v>145741.615600586</v>
      </c>
      <c s="72">
        <f>IF('[1]Leakage Tree Data'!AB88&lt;&gt;"",'[1]Leakage Tree Data'!AB88,"")</f>
        <v>-327588.769889832</v>
      </c>
      <c s="72">
        <f>IF('[1]Leakage Tree Data'!AC88&lt;&gt;"",'[1]Leakage Tree Data'!AC88,"")</f>
        <v>145741.615600586</v>
      </c>
      <c s="72">
        <f>IF('[1]Leakage Tree Data'!AD88&lt;&gt;"",'[1]Leakage Tree Data'!AD88,"")</f>
        <v>1.83187705100158</v>
      </c>
      <c s="72">
        <f>IF('[1]Leakage Tree Data'!AE88&lt;&gt;"",'[1]Leakage Tree Data'!AE88,"")</f>
      </c>
      <c s="73">
        <f t="shared" si="77"/>
      </c>
      <c s="73">
        <f t="shared" si="78"/>
      </c>
      <c s="73">
        <f t="shared" si="79"/>
      </c>
      <c s="73">
        <f t="shared" si="80"/>
      </c>
      <c s="74">
        <f t="shared" si="81"/>
      </c>
      <c s="74">
        <f t="shared" si="82"/>
      </c>
      <c s="69" t="str">
        <f t="shared" si="55"/>
        <v>Total US - Smiths Food &amp; Drug</v>
      </c>
      <c s="69" t="str">
        <f t="shared" si="56"/>
        <v>Total US - GroceryX</v>
      </c>
      <c s="77"/>
    </row>
    <row r="190" spans="1:141" ht="15">
      <c r="A19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3"/>
      </c>
      <c s="75">
        <f t="shared" si="57"/>
      </c>
      <c s="76">
        <f t="shared" si="58"/>
      </c>
      <c s="75">
        <f t="shared" si="59"/>
      </c>
      <c s="76">
        <f t="shared" si="60"/>
      </c>
      <c s="75">
        <f t="shared" si="61"/>
      </c>
      <c s="76">
        <f t="shared" si="62"/>
      </c>
      <c s="75">
        <f t="shared" si="63"/>
      </c>
      <c s="76">
        <f t="shared" si="64"/>
      </c>
      <c s="75">
        <f t="shared" si="84"/>
      </c>
      <c s="76">
        <f t="shared" si="65"/>
      </c>
      <c s="75">
        <f t="shared" si="66"/>
      </c>
      <c s="76">
        <f t="shared" si="67"/>
      </c>
      <c s="75">
        <f t="shared" si="68"/>
      </c>
      <c s="76">
        <f t="shared" si="69"/>
      </c>
      <c s="75">
        <f t="shared" si="70"/>
      </c>
      <c s="76">
        <f t="shared" si="71"/>
      </c>
      <c s="75">
        <f t="shared" si="72"/>
      </c>
      <c s="76">
        <f t="shared" si="73"/>
      </c>
      <c s="75">
        <f t="shared" si="85"/>
      </c>
      <c s="76">
        <f t="shared" si="74"/>
      </c>
      <c s="65" t="str">
        <f t="shared" si="75"/>
        <v>Sprouts Farmers Market</v>
      </c>
      <c s="65" t="str">
        <f t="shared" si="76"/>
        <v>GroceryX</v>
      </c>
      <c s="72" t="str">
        <f>IF('[1]Leakage Tree Data'!A89&lt;&gt;"",'[1]Leakage Tree Data'!A89,"")</f>
        <v>Total US - Sprouts Farmers Market</v>
      </c>
      <c s="72" t="str">
        <f>IF('[1]Leakage Tree Data'!B89&lt;&gt;"",'[1]Leakage Tree Data'!B89,"")</f>
        <v>Total US - GroceryX</v>
      </c>
      <c s="72">
        <f>IF('[1]Leakage Tree Data'!C89&lt;&gt;"",'[1]Leakage Tree Data'!C89,"")</f>
        <v>121171760.292236</v>
      </c>
      <c s="72">
        <f>IF('[1]Leakage Tree Data'!D89&lt;&gt;"",'[1]Leakage Tree Data'!D89,"")</f>
        <v>7411138.09381104</v>
      </c>
      <c s="72">
        <f>IF('[1]Leakage Tree Data'!E89&lt;&gt;"",'[1]Leakage Tree Data'!E89,"")</f>
        <v>6.11622549341299</v>
      </c>
      <c s="72">
        <f>IF('[1]Leakage Tree Data'!F89&lt;&gt;"",'[1]Leakage Tree Data'!F89,"")</f>
        <v>113760622.198425</v>
      </c>
      <c s="72">
        <f>IF('[1]Leakage Tree Data'!G89&lt;&gt;"",'[1]Leakage Tree Data'!G89,"")</f>
        <v>93.883774506587</v>
      </c>
      <c s="72">
        <f>IF('[1]Leakage Tree Data'!H89&lt;&gt;"",'[1]Leakage Tree Data'!H89,"")</f>
        <v>61518209.9918823</v>
      </c>
      <c s="72" t="str">
        <f>IF('[1]Leakage Tree Data'!I89&lt;&gt;"",'[1]Leakage Tree Data'!I89,"")</f>
        <v>GroceryX</v>
      </c>
      <c s="72">
        <f>IF('[1]Leakage Tree Data'!J89&lt;&gt;"",'[1]Leakage Tree Data'!J89,"")</f>
      </c>
      <c s="72">
        <f>IF('[1]Leakage Tree Data'!K89&lt;&gt;"",'[1]Leakage Tree Data'!K89,"")</f>
      </c>
      <c s="72">
        <f>IF('[1]Leakage Tree Data'!L89&lt;&gt;"",'[1]Leakage Tree Data'!L89,"")</f>
      </c>
      <c s="72">
        <f>IF('[1]Leakage Tree Data'!M89&lt;&gt;"",'[1]Leakage Tree Data'!M89,"")</f>
      </c>
      <c s="72">
        <f>IF('[1]Leakage Tree Data'!N89&lt;&gt;"",'[1]Leakage Tree Data'!N89,"")</f>
      </c>
      <c s="72">
        <f>IF('[1]Leakage Tree Data'!O89&lt;&gt;"",'[1]Leakage Tree Data'!O89,"")</f>
      </c>
      <c s="72">
        <f>IF('[1]Leakage Tree Data'!P89&lt;&gt;"",'[1]Leakage Tree Data'!P89,"")</f>
      </c>
      <c s="72">
        <f>IF('[1]Leakage Tree Data'!Q89&lt;&gt;"",'[1]Leakage Tree Data'!Q89,"")</f>
      </c>
      <c s="72">
        <f>IF('[1]Leakage Tree Data'!R89&lt;&gt;"",'[1]Leakage Tree Data'!R89,"")</f>
        <v>1017625.85098267</v>
      </c>
      <c s="72">
        <f>IF('[1]Leakage Tree Data'!S89&lt;&gt;"",'[1]Leakage Tree Data'!S89,"")</f>
        <v>592519.549591064</v>
      </c>
      <c s="72">
        <f>IF('[1]Leakage Tree Data'!T89&lt;&gt;"",'[1]Leakage Tree Data'!T89,"")</f>
        <v>0.441332510388952</v>
      </c>
      <c s="72">
        <f>IF('[1]Leakage Tree Data'!U89&lt;&gt;"",'[1]Leakage Tree Data'!U89,"")</f>
        <v>425106.301391602</v>
      </c>
      <c s="72">
        <f>IF('[1]Leakage Tree Data'!V89&lt;&gt;"",'[1]Leakage Tree Data'!V89,"")</f>
        <v>-0.441332510388946</v>
      </c>
      <c s="72">
        <f>IF('[1]Leakage Tree Data'!W89&lt;&gt;"",'[1]Leakage Tree Data'!W89,"")</f>
        <v>-1855949.2237854</v>
      </c>
      <c s="72">
        <f>IF('[1]Leakage Tree Data'!X89&lt;&gt;"",'[1]Leakage Tree Data'!X89,"")</f>
      </c>
      <c s="72">
        <f>IF('[1]Leakage Tree Data'!Y89&lt;&gt;"",'[1]Leakage Tree Data'!Y89,"")</f>
      </c>
      <c s="72">
        <f>IF('[1]Leakage Tree Data'!Z89&lt;&gt;"",'[1]Leakage Tree Data'!Z89,"")</f>
      </c>
      <c s="72">
        <f>IF('[1]Leakage Tree Data'!AA89&lt;&gt;"",'[1]Leakage Tree Data'!AA89,"")</f>
      </c>
      <c s="72">
        <f>IF('[1]Leakage Tree Data'!AB89&lt;&gt;"",'[1]Leakage Tree Data'!AB89,"")</f>
      </c>
      <c s="72">
        <f>IF('[1]Leakage Tree Data'!AC89&lt;&gt;"",'[1]Leakage Tree Data'!AC89,"")</f>
      </c>
      <c s="72">
        <f>IF('[1]Leakage Tree Data'!AD89&lt;&gt;"",'[1]Leakage Tree Data'!AD89,"")</f>
      </c>
      <c s="72">
        <f>IF('[1]Leakage Tree Data'!AE89&lt;&gt;"",'[1]Leakage Tree Data'!AE89,"")</f>
      </c>
      <c s="73">
        <f t="shared" si="77"/>
      </c>
      <c s="73">
        <f t="shared" si="78"/>
      </c>
      <c s="73">
        <f t="shared" si="79"/>
      </c>
      <c s="73">
        <f t="shared" si="80"/>
      </c>
      <c s="74">
        <f t="shared" si="81"/>
      </c>
      <c s="74">
        <f t="shared" si="82"/>
      </c>
      <c s="69" t="str">
        <f t="shared" si="55"/>
        <v>Total US - Sprouts Farmers Market</v>
      </c>
      <c s="69" t="str">
        <f t="shared" si="56"/>
        <v>Total US - GroceryX</v>
      </c>
      <c s="77"/>
    </row>
    <row r="191" spans="1:141" ht="15">
      <c r="A19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3"/>
      </c>
      <c s="75">
        <f t="shared" si="57"/>
      </c>
      <c s="76">
        <f t="shared" si="58"/>
      </c>
      <c s="75">
        <f t="shared" si="59"/>
        <v>1810588.16070557</v>
      </c>
      <c s="76">
        <f t="shared" si="60"/>
        <v>26</v>
      </c>
      <c s="75">
        <f t="shared" si="61"/>
      </c>
      <c s="76">
        <f t="shared" si="62"/>
      </c>
      <c s="75">
        <f t="shared" si="63"/>
      </c>
      <c s="76">
        <f t="shared" si="64"/>
      </c>
      <c s="75">
        <f t="shared" si="84"/>
      </c>
      <c s="76">
        <f t="shared" si="65"/>
      </c>
      <c s="75">
        <f t="shared" si="66"/>
      </c>
      <c s="76">
        <f t="shared" si="67"/>
      </c>
      <c s="75">
        <f t="shared" si="68"/>
        <v>6408117.37770081</v>
      </c>
      <c s="76">
        <f t="shared" si="69"/>
        <v>23</v>
      </c>
      <c s="75">
        <f t="shared" si="70"/>
      </c>
      <c s="76">
        <f t="shared" si="71"/>
      </c>
      <c s="75">
        <f t="shared" si="72"/>
      </c>
      <c s="76">
        <f t="shared" si="73"/>
      </c>
      <c s="75">
        <f t="shared" si="85"/>
      </c>
      <c s="76">
        <f t="shared" si="74"/>
      </c>
      <c s="65" t="str">
        <f t="shared" si="75"/>
        <v>Stater Brothers</v>
      </c>
      <c s="65" t="str">
        <f t="shared" si="76"/>
        <v>GroceryX</v>
      </c>
      <c s="72" t="str">
        <f>IF('[1]Leakage Tree Data'!A90&lt;&gt;"",'[1]Leakage Tree Data'!A90,"")</f>
        <v>Total US - Stater Brothers</v>
      </c>
      <c s="72" t="str">
        <f>IF('[1]Leakage Tree Data'!B90&lt;&gt;"",'[1]Leakage Tree Data'!B90,"")</f>
        <v>Total US - GroceryX</v>
      </c>
      <c s="72">
        <f>IF('[1]Leakage Tree Data'!C90&lt;&gt;"",'[1]Leakage Tree Data'!C90,"")</f>
        <v>121171760.292236</v>
      </c>
      <c s="72">
        <f>IF('[1]Leakage Tree Data'!D90&lt;&gt;"",'[1]Leakage Tree Data'!D90,"")</f>
        <v>2885524.92810059</v>
      </c>
      <c s="72">
        <f>IF('[1]Leakage Tree Data'!E90&lt;&gt;"",'[1]Leakage Tree Data'!E90,"")</f>
        <v>2.38135100219838</v>
      </c>
      <c s="72">
        <f>IF('[1]Leakage Tree Data'!F90&lt;&gt;"",'[1]Leakage Tree Data'!F90,"")</f>
        <v>118286235.364136</v>
      </c>
      <c s="72">
        <f>IF('[1]Leakage Tree Data'!G90&lt;&gt;"",'[1]Leakage Tree Data'!G90,"")</f>
        <v>97.6186489978016</v>
      </c>
      <c s="72">
        <f>IF('[1]Leakage Tree Data'!H90&lt;&gt;"",'[1]Leakage Tree Data'!H90,"")</f>
        <v>61518209.9918823</v>
      </c>
      <c s="72" t="str">
        <f>IF('[1]Leakage Tree Data'!I90&lt;&gt;"",'[1]Leakage Tree Data'!I90,"")</f>
        <v>GroceryX</v>
      </c>
      <c s="72">
        <f>IF('[1]Leakage Tree Data'!J90&lt;&gt;"",'[1]Leakage Tree Data'!J90,"")</f>
        <v>99.2278287715973</v>
      </c>
      <c s="72">
        <f>IF('[1]Leakage Tree Data'!K90&lt;&gt;"",'[1]Leakage Tree Data'!K90,"")</f>
        <v>475025.917785645</v>
      </c>
      <c s="72">
        <f>IF('[1]Leakage Tree Data'!L90&lt;&gt;"",'[1]Leakage Tree Data'!L90,"")</f>
        <v>1810588.16070557</v>
      </c>
      <c s="72">
        <f>IF('[1]Leakage Tree Data'!M90&lt;&gt;"",'[1]Leakage Tree Data'!M90,"")</f>
        <v>6408117.37770081</v>
      </c>
      <c s="72">
        <f>IF('[1]Leakage Tree Data'!N90&lt;&gt;"",'[1]Leakage Tree Data'!N90,"")</f>
        <v>1810588.16070557</v>
      </c>
      <c s="72">
        <f>IF('[1]Leakage Tree Data'!O90&lt;&gt;"",'[1]Leakage Tree Data'!O90,"")</f>
        <v>26.5461267121666</v>
      </c>
      <c s="72">
        <f>IF('[1]Leakage Tree Data'!P90&lt;&gt;"",'[1]Leakage Tree Data'!P90,"")</f>
        <v>523427.593559738</v>
      </c>
      <c s="72">
        <f>IF('[1]Leakage Tree Data'!Q90&lt;&gt;"",'[1]Leakage Tree Data'!Q90,"")</f>
      </c>
      <c s="72">
        <f>IF('[1]Leakage Tree Data'!R90&lt;&gt;"",'[1]Leakage Tree Data'!R90,"")</f>
        <v>1017625.85098267</v>
      </c>
      <c s="72">
        <f>IF('[1]Leakage Tree Data'!S90&lt;&gt;"",'[1]Leakage Tree Data'!S90,"")</f>
        <v>82530.6637573242</v>
      </c>
      <c s="72">
        <f>IF('[1]Leakage Tree Data'!T90&lt;&gt;"",'[1]Leakage Tree Data'!T90,"")</f>
        <v>0.0485188633977649</v>
      </c>
      <c s="72">
        <f>IF('[1]Leakage Tree Data'!U90&lt;&gt;"",'[1]Leakage Tree Data'!U90,"")</f>
        <v>935095.187225342</v>
      </c>
      <c s="72">
        <f>IF('[1]Leakage Tree Data'!V90&lt;&gt;"",'[1]Leakage Tree Data'!V90,"")</f>
        <v>-0.04851886339776</v>
      </c>
      <c s="72">
        <f>IF('[1]Leakage Tree Data'!W90&lt;&gt;"",'[1]Leakage Tree Data'!W90,"")</f>
        <v>-1855949.2237854</v>
      </c>
      <c s="72">
        <f>IF('[1]Leakage Tree Data'!X90&lt;&gt;"",'[1]Leakage Tree Data'!X90,"")</f>
      </c>
      <c s="72">
        <f>IF('[1]Leakage Tree Data'!Y90&lt;&gt;"",'[1]Leakage Tree Data'!Y90,"")</f>
        <v>0.000673062123098589</v>
      </c>
      <c s="72">
        <f>IF('[1]Leakage Tree Data'!Z90&lt;&gt;"",'[1]Leakage Tree Data'!Z90,"")</f>
        <v>-14757.6533813477</v>
      </c>
      <c s="72">
        <f>IF('[1]Leakage Tree Data'!AA90&lt;&gt;"",'[1]Leakage Tree Data'!AA90,"")</f>
        <v>-1260831.62484741</v>
      </c>
      <c s="72">
        <f>IF('[1]Leakage Tree Data'!AB90&lt;&gt;"",'[1]Leakage Tree Data'!AB90,"")</f>
        <v>564726.44839859</v>
      </c>
      <c s="72">
        <f>IF('[1]Leakage Tree Data'!AC90&lt;&gt;"",'[1]Leakage Tree Data'!AC90,"")</f>
        <v>-1260831.62484741</v>
      </c>
      <c s="72">
        <f>IF('[1]Leakage Tree Data'!AD90&lt;&gt;"",'[1]Leakage Tree Data'!AD90,"")</f>
        <v>-0.398964697055813</v>
      </c>
      <c s="72">
        <f>IF('[1]Leakage Tree Data'!AE90&lt;&gt;"",'[1]Leakage Tree Data'!AE90,"")</f>
      </c>
      <c s="73">
        <f t="shared" si="77"/>
      </c>
      <c s="73">
        <f t="shared" si="78"/>
      </c>
      <c s="73">
        <f t="shared" si="79"/>
      </c>
      <c s="73">
        <f t="shared" si="80"/>
      </c>
      <c s="74">
        <f t="shared" si="81"/>
      </c>
      <c s="74">
        <f t="shared" si="82"/>
      </c>
      <c s="69" t="str">
        <f t="shared" si="55"/>
        <v>Total US - Stater Brothers</v>
      </c>
      <c s="69" t="str">
        <f t="shared" si="56"/>
        <v>Total US - GroceryX</v>
      </c>
      <c s="77"/>
    </row>
    <row r="192" spans="1:141" ht="15">
      <c r="A19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3"/>
      </c>
      <c s="75">
        <f t="shared" si="57"/>
      </c>
      <c s="76">
        <f t="shared" si="58"/>
      </c>
      <c s="75">
        <f t="shared" si="59"/>
        <v>4833600.98513794</v>
      </c>
      <c s="76">
        <f t="shared" si="60"/>
        <v>7</v>
      </c>
      <c s="75">
        <f t="shared" si="61"/>
      </c>
      <c s="76">
        <f t="shared" si="62"/>
      </c>
      <c s="75">
        <f t="shared" si="63"/>
      </c>
      <c s="76">
        <f t="shared" si="64"/>
      </c>
      <c s="75">
        <f t="shared" si="84"/>
      </c>
      <c s="76">
        <f t="shared" si="65"/>
      </c>
      <c s="75">
        <f t="shared" si="66"/>
      </c>
      <c s="76">
        <f t="shared" si="67"/>
      </c>
      <c s="75">
        <f t="shared" si="68"/>
        <v>19418185.9652767</v>
      </c>
      <c s="76">
        <f t="shared" si="69"/>
        <v>6</v>
      </c>
      <c s="75">
        <f t="shared" si="70"/>
      </c>
      <c s="76">
        <f t="shared" si="71"/>
      </c>
      <c s="75">
        <f t="shared" si="72"/>
      </c>
      <c s="76">
        <f t="shared" si="73"/>
      </c>
      <c s="75">
        <f t="shared" si="85"/>
      </c>
      <c s="76">
        <f t="shared" si="74"/>
      </c>
      <c s="65" t="str">
        <f t="shared" si="75"/>
        <v>Stop &amp; Shop</v>
      </c>
      <c s="65" t="str">
        <f t="shared" si="76"/>
        <v>GroceryX</v>
      </c>
      <c s="72" t="str">
        <f>IF('[1]Leakage Tree Data'!A91&lt;&gt;"",'[1]Leakage Tree Data'!A91,"")</f>
        <v>Total US - Stop &amp; Shop</v>
      </c>
      <c s="72" t="str">
        <f>IF('[1]Leakage Tree Data'!B91&lt;&gt;"",'[1]Leakage Tree Data'!B91,"")</f>
        <v>Total US - GroceryX</v>
      </c>
      <c s="72">
        <f>IF('[1]Leakage Tree Data'!C91&lt;&gt;"",'[1]Leakage Tree Data'!C91,"")</f>
        <v>121171760.292236</v>
      </c>
      <c s="72">
        <f>IF('[1]Leakage Tree Data'!D91&lt;&gt;"",'[1]Leakage Tree Data'!D91,"")</f>
        <v>6925223.14776611</v>
      </c>
      <c s="72">
        <f>IF('[1]Leakage Tree Data'!E91&lt;&gt;"",'[1]Leakage Tree Data'!E91,"")</f>
        <v>5.71521213446449</v>
      </c>
      <c s="72">
        <f>IF('[1]Leakage Tree Data'!F91&lt;&gt;"",'[1]Leakage Tree Data'!F91,"")</f>
        <v>114246537.14447</v>
      </c>
      <c s="72">
        <f>IF('[1]Leakage Tree Data'!G91&lt;&gt;"",'[1]Leakage Tree Data'!G91,"")</f>
        <v>94.2847878655355</v>
      </c>
      <c s="72">
        <f>IF('[1]Leakage Tree Data'!H91&lt;&gt;"",'[1]Leakage Tree Data'!H91,"")</f>
        <v>61518209.9918823</v>
      </c>
      <c s="72" t="str">
        <f>IF('[1]Leakage Tree Data'!I91&lt;&gt;"",'[1]Leakage Tree Data'!I91,"")</f>
        <v>GroceryX</v>
      </c>
      <c s="72">
        <f>IF('[1]Leakage Tree Data'!J91&lt;&gt;"",'[1]Leakage Tree Data'!J91,"")</f>
        <v>97.5755152081902</v>
      </c>
      <c s="72">
        <f>IF('[1]Leakage Tree Data'!K91&lt;&gt;"",'[1]Leakage Tree Data'!K91,"")</f>
        <v>1491499.64544678</v>
      </c>
      <c s="72">
        <f>IF('[1]Leakage Tree Data'!L91&lt;&gt;"",'[1]Leakage Tree Data'!L91,"")</f>
        <v>4833600.98513794</v>
      </c>
      <c s="72">
        <f>IF('[1]Leakage Tree Data'!M91&lt;&gt;"",'[1]Leakage Tree Data'!M91,"")</f>
        <v>19418185.9652767</v>
      </c>
      <c s="72">
        <f>IF('[1]Leakage Tree Data'!N91&lt;&gt;"",'[1]Leakage Tree Data'!N91,"")</f>
        <v>4833600.98513794</v>
      </c>
      <c s="72">
        <f>IF('[1]Leakage Tree Data'!O91&lt;&gt;"",'[1]Leakage Tree Data'!O91,"")</f>
        <v>40.0797288709206</v>
      </c>
      <c s="72">
        <f>IF('[1]Leakage Tree Data'!P91&lt;&gt;"",'[1]Leakage Tree Data'!P91,"")</f>
        <v>1542141.83951348</v>
      </c>
      <c s="72">
        <f>IF('[1]Leakage Tree Data'!Q91&lt;&gt;"",'[1]Leakage Tree Data'!Q91,"")</f>
      </c>
      <c s="72">
        <f>IF('[1]Leakage Tree Data'!R91&lt;&gt;"",'[1]Leakage Tree Data'!R91,"")</f>
        <v>1017625.85098267</v>
      </c>
      <c s="72">
        <f>IF('[1]Leakage Tree Data'!S91&lt;&gt;"",'[1]Leakage Tree Data'!S91,"")</f>
        <v>-64275.2537231445</v>
      </c>
      <c s="72">
        <f>IF('[1]Leakage Tree Data'!T91&lt;&gt;"",'[1]Leakage Tree Data'!T91,"")</f>
        <v>-0.101898058199416</v>
      </c>
      <c s="72">
        <f>IF('[1]Leakage Tree Data'!U91&lt;&gt;"",'[1]Leakage Tree Data'!U91,"")</f>
        <v>1081901.10470581</v>
      </c>
      <c s="72">
        <f>IF('[1]Leakage Tree Data'!V91&lt;&gt;"",'[1]Leakage Tree Data'!V91,"")</f>
        <v>0.10189805819941</v>
      </c>
      <c s="72">
        <f>IF('[1]Leakage Tree Data'!W91&lt;&gt;"",'[1]Leakage Tree Data'!W91,"")</f>
        <v>-1855949.2237854</v>
      </c>
      <c s="72">
        <f>IF('[1]Leakage Tree Data'!X91&lt;&gt;"",'[1]Leakage Tree Data'!X91,"")</f>
      </c>
      <c s="72">
        <f>IF('[1]Leakage Tree Data'!Y91&lt;&gt;"",'[1]Leakage Tree Data'!Y91,"")</f>
        <v>0.412160795126837</v>
      </c>
      <c s="72">
        <f>IF('[1]Leakage Tree Data'!Z91&lt;&gt;"",'[1]Leakage Tree Data'!Z91,"")</f>
        <v>-306200.645202637</v>
      </c>
      <c s="72">
        <f>IF('[1]Leakage Tree Data'!AA91&lt;&gt;"",'[1]Leakage Tree Data'!AA91,"")</f>
        <v>-4703825.48635101</v>
      </c>
      <c s="72">
        <f>IF('[1]Leakage Tree Data'!AB91&lt;&gt;"",'[1]Leakage Tree Data'!AB91,"")</f>
        <v>-4923585.5430088</v>
      </c>
      <c s="72">
        <f>IF('[1]Leakage Tree Data'!AC91&lt;&gt;"",'[1]Leakage Tree Data'!AC91,"")</f>
        <v>-4703825.48635101</v>
      </c>
      <c s="72">
        <f>IF('[1]Leakage Tree Data'!AD91&lt;&gt;"",'[1]Leakage Tree Data'!AD91,"")</f>
        <v>-5.76201825428542</v>
      </c>
      <c s="72">
        <f>IF('[1]Leakage Tree Data'!AE91&lt;&gt;"",'[1]Leakage Tree Data'!AE91,"")</f>
      </c>
      <c s="73">
        <f t="shared" si="77"/>
      </c>
      <c s="73">
        <f t="shared" si="78"/>
      </c>
      <c s="73">
        <f t="shared" si="79"/>
      </c>
      <c s="73">
        <f t="shared" si="80"/>
      </c>
      <c s="74">
        <f t="shared" si="81"/>
      </c>
      <c s="74">
        <f t="shared" si="82"/>
      </c>
      <c s="69" t="str">
        <f t="shared" si="55"/>
        <v>Total US - Stop &amp; Shop</v>
      </c>
      <c s="69" t="str">
        <f t="shared" si="56"/>
        <v>Total US - GroceryX</v>
      </c>
      <c s="77"/>
    </row>
    <row r="193" spans="1:141" ht="15">
      <c r="A19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3"/>
      </c>
      <c s="75">
        <f t="shared" si="57"/>
      </c>
      <c s="76">
        <f t="shared" si="58"/>
      </c>
      <c s="75">
        <f t="shared" si="59"/>
      </c>
      <c s="76">
        <f t="shared" si="60"/>
      </c>
      <c s="75">
        <f t="shared" si="61"/>
      </c>
      <c s="76">
        <f t="shared" si="62"/>
      </c>
      <c s="75">
        <f t="shared" si="63"/>
      </c>
      <c s="76">
        <f t="shared" si="64"/>
      </c>
      <c s="75">
        <f t="shared" si="84"/>
      </c>
      <c s="76">
        <f t="shared" si="65"/>
      </c>
      <c s="75">
        <f t="shared" si="66"/>
      </c>
      <c s="76">
        <f t="shared" si="67"/>
      </c>
      <c s="75">
        <f t="shared" si="68"/>
      </c>
      <c s="76">
        <f t="shared" si="69"/>
      </c>
      <c s="75">
        <f t="shared" si="70"/>
      </c>
      <c s="76">
        <f t="shared" si="71"/>
      </c>
      <c s="75">
        <f t="shared" si="72"/>
      </c>
      <c s="76">
        <f t="shared" si="73"/>
      </c>
      <c s="75">
        <f t="shared" si="85"/>
      </c>
      <c s="76">
        <f t="shared" si="74"/>
      </c>
      <c s="65" t="str">
        <f t="shared" si="75"/>
        <v>Sweetbay Supermarket</v>
      </c>
      <c s="65" t="str">
        <f t="shared" si="76"/>
        <v>GroceryX</v>
      </c>
      <c s="72" t="str">
        <f>IF('[1]Leakage Tree Data'!A92&lt;&gt;"",'[1]Leakage Tree Data'!A92,"")</f>
        <v>Total US - Sweetbay Supermarket</v>
      </c>
      <c s="72" t="str">
        <f>IF('[1]Leakage Tree Data'!B92&lt;&gt;"",'[1]Leakage Tree Data'!B92,"")</f>
        <v>Total US - GroceryX</v>
      </c>
      <c s="72">
        <f>IF('[1]Leakage Tree Data'!C92&lt;&gt;"",'[1]Leakage Tree Data'!C92,"")</f>
        <v>121171760.292236</v>
      </c>
      <c s="72">
        <f>IF('[1]Leakage Tree Data'!D92&lt;&gt;"",'[1]Leakage Tree Data'!D92,"")</f>
      </c>
      <c s="72">
        <f>IF('[1]Leakage Tree Data'!E92&lt;&gt;"",'[1]Leakage Tree Data'!E92,"")</f>
      </c>
      <c s="72">
        <f>IF('[1]Leakage Tree Data'!F92&lt;&gt;"",'[1]Leakage Tree Data'!F92,"")</f>
      </c>
      <c s="72">
        <f>IF('[1]Leakage Tree Data'!G92&lt;&gt;"",'[1]Leakage Tree Data'!G92,"")</f>
      </c>
      <c s="72">
        <f>IF('[1]Leakage Tree Data'!H92&lt;&gt;"",'[1]Leakage Tree Data'!H92,"")</f>
        <v>61518209.9918823</v>
      </c>
      <c s="72" t="str">
        <f>IF('[1]Leakage Tree Data'!I92&lt;&gt;"",'[1]Leakage Tree Data'!I92,"")</f>
        <v>GroceryX</v>
      </c>
      <c s="72">
        <f>IF('[1]Leakage Tree Data'!J92&lt;&gt;"",'[1]Leakage Tree Data'!J92,"")</f>
      </c>
      <c s="72">
        <f>IF('[1]Leakage Tree Data'!K92&lt;&gt;"",'[1]Leakage Tree Data'!K92,"")</f>
      </c>
      <c s="72">
        <f>IF('[1]Leakage Tree Data'!L92&lt;&gt;"",'[1]Leakage Tree Data'!L92,"")</f>
      </c>
      <c s="72">
        <f>IF('[1]Leakage Tree Data'!M92&lt;&gt;"",'[1]Leakage Tree Data'!M92,"")</f>
      </c>
      <c s="72">
        <f>IF('[1]Leakage Tree Data'!N92&lt;&gt;"",'[1]Leakage Tree Data'!N92,"")</f>
      </c>
      <c s="72">
        <f>IF('[1]Leakage Tree Data'!O92&lt;&gt;"",'[1]Leakage Tree Data'!O92,"")</f>
      </c>
      <c s="72">
        <f>IF('[1]Leakage Tree Data'!P92&lt;&gt;"",'[1]Leakage Tree Data'!P92,"")</f>
      </c>
      <c s="72">
        <f>IF('[1]Leakage Tree Data'!Q92&lt;&gt;"",'[1]Leakage Tree Data'!Q92,"")</f>
      </c>
      <c s="72">
        <f>IF('[1]Leakage Tree Data'!R92&lt;&gt;"",'[1]Leakage Tree Data'!R92,"")</f>
        <v>1017625.85098267</v>
      </c>
      <c s="72">
        <f>IF('[1]Leakage Tree Data'!S92&lt;&gt;"",'[1]Leakage Tree Data'!S92,"")</f>
      </c>
      <c s="72">
        <f>IF('[1]Leakage Tree Data'!T92&lt;&gt;"",'[1]Leakage Tree Data'!T92,"")</f>
      </c>
      <c s="72">
        <f>IF('[1]Leakage Tree Data'!U92&lt;&gt;"",'[1]Leakage Tree Data'!U92,"")</f>
      </c>
      <c s="72">
        <f>IF('[1]Leakage Tree Data'!V92&lt;&gt;"",'[1]Leakage Tree Data'!V92,"")</f>
      </c>
      <c s="72">
        <f>IF('[1]Leakage Tree Data'!W92&lt;&gt;"",'[1]Leakage Tree Data'!W92,"")</f>
        <v>-1855949.2237854</v>
      </c>
      <c s="72">
        <f>IF('[1]Leakage Tree Data'!X92&lt;&gt;"",'[1]Leakage Tree Data'!X92,"")</f>
      </c>
      <c s="72">
        <f>IF('[1]Leakage Tree Data'!Y92&lt;&gt;"",'[1]Leakage Tree Data'!Y92,"")</f>
      </c>
      <c s="72">
        <f>IF('[1]Leakage Tree Data'!Z92&lt;&gt;"",'[1]Leakage Tree Data'!Z92,"")</f>
      </c>
      <c s="72">
        <f>IF('[1]Leakage Tree Data'!AA92&lt;&gt;"",'[1]Leakage Tree Data'!AA92,"")</f>
      </c>
      <c s="72">
        <f>IF('[1]Leakage Tree Data'!AB92&lt;&gt;"",'[1]Leakage Tree Data'!AB92,"")</f>
      </c>
      <c s="72">
        <f>IF('[1]Leakage Tree Data'!AC92&lt;&gt;"",'[1]Leakage Tree Data'!AC92,"")</f>
      </c>
      <c s="72">
        <f>IF('[1]Leakage Tree Data'!AD92&lt;&gt;"",'[1]Leakage Tree Data'!AD92,"")</f>
      </c>
      <c s="72">
        <f>IF('[1]Leakage Tree Data'!AE92&lt;&gt;"",'[1]Leakage Tree Data'!AE92,"")</f>
      </c>
      <c s="73">
        <f t="shared" si="77"/>
      </c>
      <c s="73">
        <f t="shared" si="78"/>
      </c>
      <c s="73">
        <f t="shared" si="79"/>
      </c>
      <c s="73">
        <f t="shared" si="80"/>
      </c>
      <c s="74">
        <f t="shared" si="81"/>
      </c>
      <c s="74">
        <f t="shared" si="82"/>
      </c>
      <c s="69" t="str">
        <f t="shared" si="55"/>
        <v>Total US - Sweetbay Supermarket</v>
      </c>
      <c s="69" t="str">
        <f t="shared" si="56"/>
        <v>Total US - GroceryX</v>
      </c>
      <c s="77"/>
    </row>
    <row r="194" spans="1:141" ht="15">
      <c r="A19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3"/>
      </c>
      <c s="75">
        <f t="shared" si="57"/>
      </c>
      <c s="76">
        <f t="shared" si="58"/>
      </c>
      <c s="75">
        <f t="shared" si="59"/>
      </c>
      <c s="76">
        <f t="shared" si="60"/>
      </c>
      <c s="75">
        <f t="shared" si="61"/>
      </c>
      <c s="76">
        <f t="shared" si="62"/>
      </c>
      <c s="75">
        <f t="shared" si="63"/>
      </c>
      <c s="76">
        <f t="shared" si="64"/>
      </c>
      <c s="75">
        <f t="shared" si="84"/>
      </c>
      <c s="76">
        <f t="shared" si="65"/>
      </c>
      <c s="75">
        <f t="shared" si="66"/>
      </c>
      <c s="76">
        <f t="shared" si="67"/>
      </c>
      <c s="75">
        <f t="shared" si="68"/>
      </c>
      <c s="76">
        <f t="shared" si="69"/>
      </c>
      <c s="75">
        <f t="shared" si="70"/>
      </c>
      <c s="76">
        <f t="shared" si="71"/>
      </c>
      <c s="75">
        <f t="shared" si="72"/>
      </c>
      <c s="76">
        <f t="shared" si="73"/>
      </c>
      <c s="75">
        <f t="shared" si="85"/>
      </c>
      <c s="76">
        <f t="shared" si="74"/>
      </c>
      <c s="65" t="str">
        <f t="shared" si="75"/>
        <v>Tom Thumb</v>
      </c>
      <c s="65" t="str">
        <f t="shared" si="76"/>
        <v>GroceryX</v>
      </c>
      <c s="72" t="str">
        <f>IF('[1]Leakage Tree Data'!A93&lt;&gt;"",'[1]Leakage Tree Data'!A93,"")</f>
        <v>Total US - Tom Thumb</v>
      </c>
      <c s="72" t="str">
        <f>IF('[1]Leakage Tree Data'!B93&lt;&gt;"",'[1]Leakage Tree Data'!B93,"")</f>
        <v>Total US - GroceryX</v>
      </c>
      <c s="72">
        <f>IF('[1]Leakage Tree Data'!C93&lt;&gt;"",'[1]Leakage Tree Data'!C93,"")</f>
        <v>121171760.292236</v>
      </c>
      <c s="72">
        <f>IF('[1]Leakage Tree Data'!D93&lt;&gt;"",'[1]Leakage Tree Data'!D93,"")</f>
        <v>929408.066162109</v>
      </c>
      <c s="72">
        <f>IF('[1]Leakage Tree Data'!E93&lt;&gt;"",'[1]Leakage Tree Data'!E93,"")</f>
        <v>0.767017054073166</v>
      </c>
      <c s="72">
        <f>IF('[1]Leakage Tree Data'!F93&lt;&gt;"",'[1]Leakage Tree Data'!F93,"")</f>
        <v>120242352.226074</v>
      </c>
      <c s="72">
        <f>IF('[1]Leakage Tree Data'!G93&lt;&gt;"",'[1]Leakage Tree Data'!G93,"")</f>
        <v>99.2329829459268</v>
      </c>
      <c s="72">
        <f>IF('[1]Leakage Tree Data'!H93&lt;&gt;"",'[1]Leakage Tree Data'!H93,"")</f>
        <v>61518209.9918823</v>
      </c>
      <c s="72" t="str">
        <f>IF('[1]Leakage Tree Data'!I93&lt;&gt;"",'[1]Leakage Tree Data'!I93,"")</f>
        <v>GroceryX</v>
      </c>
      <c s="72">
        <f>IF('[1]Leakage Tree Data'!J93&lt;&gt;"",'[1]Leakage Tree Data'!J93,"")</f>
        <v>99.8095207455649</v>
      </c>
      <c s="72">
        <f>IF('[1]Leakage Tree Data'!K93&lt;&gt;"",'[1]Leakage Tree Data'!K93,"")</f>
        <v>117179.427734375</v>
      </c>
      <c s="72">
        <f>IF('[1]Leakage Tree Data'!L93&lt;&gt;"",'[1]Leakage Tree Data'!L93,"")</f>
      </c>
      <c s="72">
        <f>IF('[1]Leakage Tree Data'!M93&lt;&gt;"",'[1]Leakage Tree Data'!M93,"")</f>
      </c>
      <c s="72">
        <f>IF('[1]Leakage Tree Data'!N93&lt;&gt;"",'[1]Leakage Tree Data'!N93,"")</f>
      </c>
      <c s="72">
        <f>IF('[1]Leakage Tree Data'!O93&lt;&gt;"",'[1]Leakage Tree Data'!O93,"")</f>
        <v>20.3541612154375</v>
      </c>
      <c s="72">
        <f>IF('[1]Leakage Tree Data'!P93&lt;&gt;"",'[1]Leakage Tree Data'!P93,"")</f>
        <v>251338.639311686</v>
      </c>
      <c s="72">
        <f>IF('[1]Leakage Tree Data'!Q93&lt;&gt;"",'[1]Leakage Tree Data'!Q93,"")</f>
      </c>
      <c s="72">
        <f>IF('[1]Leakage Tree Data'!R93&lt;&gt;"",'[1]Leakage Tree Data'!R93,"")</f>
        <v>1017625.85098267</v>
      </c>
      <c s="72">
        <f>IF('[1]Leakage Tree Data'!S93&lt;&gt;"",'[1]Leakage Tree Data'!S93,"")</f>
        <v>-59435.8521728516</v>
      </c>
      <c s="72">
        <f>IF('[1]Leakage Tree Data'!T93&lt;&gt;"",'[1]Leakage Tree Data'!T93,"")</f>
        <v>-0.0559624654692359</v>
      </c>
      <c s="72">
        <f>IF('[1]Leakage Tree Data'!U93&lt;&gt;"",'[1]Leakage Tree Data'!U93,"")</f>
        <v>1077061.70315552</v>
      </c>
      <c s="72">
        <f>IF('[1]Leakage Tree Data'!V93&lt;&gt;"",'[1]Leakage Tree Data'!V93,"")</f>
        <v>0.0559624654692357</v>
      </c>
      <c s="72">
        <f>IF('[1]Leakage Tree Data'!W93&lt;&gt;"",'[1]Leakage Tree Data'!W93,"")</f>
        <v>-1855949.2237854</v>
      </c>
      <c s="72">
        <f>IF('[1]Leakage Tree Data'!X93&lt;&gt;"",'[1]Leakage Tree Data'!X93,"")</f>
      </c>
      <c s="72">
        <f>IF('[1]Leakage Tree Data'!Y93&lt;&gt;"",'[1]Leakage Tree Data'!Y93,"")</f>
        <v>0.0612117596942454</v>
      </c>
      <c s="72">
        <f>IF('[1]Leakage Tree Data'!Z93&lt;&gt;"",'[1]Leakage Tree Data'!Z93,"")</f>
        <v>-42327.6362915039</v>
      </c>
      <c s="72">
        <f>IF('[1]Leakage Tree Data'!AA93&lt;&gt;"",'[1]Leakage Tree Data'!AA93,"")</f>
      </c>
      <c s="72">
        <f>IF('[1]Leakage Tree Data'!AB93&lt;&gt;"",'[1]Leakage Tree Data'!AB93,"")</f>
      </c>
      <c s="72">
        <f>IF('[1]Leakage Tree Data'!AC93&lt;&gt;"",'[1]Leakage Tree Data'!AC93,"")</f>
      </c>
      <c s="72">
        <f>IF('[1]Leakage Tree Data'!AD93&lt;&gt;"",'[1]Leakage Tree Data'!AD93,"")</f>
        <v>-3.50574575501345</v>
      </c>
      <c s="72">
        <f>IF('[1]Leakage Tree Data'!AE93&lt;&gt;"",'[1]Leakage Tree Data'!AE93,"")</f>
      </c>
      <c s="73">
        <f t="shared" si="77"/>
      </c>
      <c s="73">
        <f t="shared" si="78"/>
      </c>
      <c s="73">
        <f t="shared" si="79"/>
      </c>
      <c s="73">
        <f t="shared" si="80"/>
      </c>
      <c s="74">
        <f t="shared" si="81"/>
      </c>
      <c s="74">
        <f t="shared" si="82"/>
      </c>
      <c s="69" t="str">
        <f t="shared" si="55"/>
        <v>Total US - Tom Thumb</v>
      </c>
      <c s="69" t="str">
        <f t="shared" si="56"/>
        <v>Total US - GroceryX</v>
      </c>
      <c s="77"/>
    </row>
    <row r="195" spans="1:141" ht="15">
      <c r="A19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3"/>
      </c>
      <c s="75">
        <f t="shared" si="57"/>
      </c>
      <c s="76">
        <f t="shared" si="58"/>
      </c>
      <c s="75">
        <f t="shared" si="59"/>
      </c>
      <c s="76">
        <f t="shared" si="60"/>
      </c>
      <c s="75">
        <f t="shared" si="61"/>
      </c>
      <c s="76">
        <f t="shared" si="62"/>
      </c>
      <c s="75">
        <f t="shared" si="63"/>
      </c>
      <c s="76">
        <f t="shared" si="64"/>
      </c>
      <c s="75">
        <f t="shared" si="84"/>
      </c>
      <c s="76">
        <f t="shared" si="65"/>
      </c>
      <c s="75">
        <f t="shared" si="66"/>
      </c>
      <c s="76">
        <f t="shared" si="67"/>
      </c>
      <c s="75">
        <f t="shared" si="68"/>
        <v>4787853.6779213</v>
      </c>
      <c s="76">
        <f t="shared" si="69"/>
        <v>32</v>
      </c>
      <c s="75">
        <f t="shared" si="70"/>
      </c>
      <c s="76">
        <f t="shared" si="71"/>
      </c>
      <c s="75">
        <f t="shared" si="72"/>
      </c>
      <c s="76">
        <f t="shared" si="73"/>
      </c>
      <c s="75">
        <f t="shared" si="85"/>
      </c>
      <c s="76">
        <f t="shared" si="74"/>
      </c>
      <c s="65" t="str">
        <f t="shared" si="75"/>
        <v>Tops</v>
      </c>
      <c s="65" t="str">
        <f t="shared" si="76"/>
        <v>GroceryX</v>
      </c>
      <c s="72" t="str">
        <f>IF('[1]Leakage Tree Data'!A94&lt;&gt;"",'[1]Leakage Tree Data'!A94,"")</f>
        <v>Total US - Tops</v>
      </c>
      <c s="72" t="str">
        <f>IF('[1]Leakage Tree Data'!B94&lt;&gt;"",'[1]Leakage Tree Data'!B94,"")</f>
        <v>Total US - GroceryX</v>
      </c>
      <c s="72">
        <f>IF('[1]Leakage Tree Data'!C94&lt;&gt;"",'[1]Leakage Tree Data'!C94,"")</f>
        <v>121171760.292236</v>
      </c>
      <c s="72">
        <f>IF('[1]Leakage Tree Data'!D94&lt;&gt;"",'[1]Leakage Tree Data'!D94,"")</f>
        <v>1555837.96325684</v>
      </c>
      <c s="72">
        <f>IF('[1]Leakage Tree Data'!E94&lt;&gt;"",'[1]Leakage Tree Data'!E94,"")</f>
        <v>1.28399386086704</v>
      </c>
      <c s="72">
        <f>IF('[1]Leakage Tree Data'!F94&lt;&gt;"",'[1]Leakage Tree Data'!F94,"")</f>
        <v>119615922.328979</v>
      </c>
      <c s="72">
        <f>IF('[1]Leakage Tree Data'!G94&lt;&gt;"",'[1]Leakage Tree Data'!G94,"")</f>
        <v>98.716006139133</v>
      </c>
      <c s="72">
        <f>IF('[1]Leakage Tree Data'!H94&lt;&gt;"",'[1]Leakage Tree Data'!H94,"")</f>
        <v>61518209.9918823</v>
      </c>
      <c s="72" t="str">
        <f>IF('[1]Leakage Tree Data'!I94&lt;&gt;"",'[1]Leakage Tree Data'!I94,"")</f>
        <v>GroceryX</v>
      </c>
      <c s="72">
        <f>IF('[1]Leakage Tree Data'!J94&lt;&gt;"",'[1]Leakage Tree Data'!J94,"")</f>
        <v>99.4848697583197</v>
      </c>
      <c s="72">
        <f>IF('[1]Leakage Tree Data'!K94&lt;&gt;"",'[1]Leakage Tree Data'!K94,"")</f>
        <v>316898.903808594</v>
      </c>
      <c s="72">
        <f>IF('[1]Leakage Tree Data'!L94&lt;&gt;"",'[1]Leakage Tree Data'!L94,"")</f>
      </c>
      <c s="72">
        <f>IF('[1]Leakage Tree Data'!M94&lt;&gt;"",'[1]Leakage Tree Data'!M94,"")</f>
        <v>4787853.6779213</v>
      </c>
      <c s="72">
        <f>IF('[1]Leakage Tree Data'!N94&lt;&gt;"",'[1]Leakage Tree Data'!N94,"")</f>
      </c>
      <c s="72">
        <f>IF('[1]Leakage Tree Data'!O94&lt;&gt;"",'[1]Leakage Tree Data'!O94,"")</f>
        <v>40.2448215629572</v>
      </c>
      <c s="72">
        <f>IF('[1]Leakage Tree Data'!P94&lt;&gt;"",'[1]Leakage Tree Data'!P94,"")</f>
        <v>360108.694349939</v>
      </c>
      <c s="72">
        <f>IF('[1]Leakage Tree Data'!Q94&lt;&gt;"",'[1]Leakage Tree Data'!Q94,"")</f>
      </c>
      <c s="72">
        <f>IF('[1]Leakage Tree Data'!R94&lt;&gt;"",'[1]Leakage Tree Data'!R94,"")</f>
        <v>1017625.85098267</v>
      </c>
      <c s="72">
        <f>IF('[1]Leakage Tree Data'!S94&lt;&gt;"",'[1]Leakage Tree Data'!S94,"")</f>
        <v>-35271.9302368164</v>
      </c>
      <c s="72">
        <f>IF('[1]Leakage Tree Data'!T94&lt;&gt;"",'[1]Leakage Tree Data'!T94,"")</f>
        <v>-0.0402301459827532</v>
      </c>
      <c s="72">
        <f>IF('[1]Leakage Tree Data'!U94&lt;&gt;"",'[1]Leakage Tree Data'!U94,"")</f>
        <v>1052897.78121948</v>
      </c>
      <c s="72">
        <f>IF('[1]Leakage Tree Data'!V94&lt;&gt;"",'[1]Leakage Tree Data'!V94,"")</f>
        <v>0.040230145982747</v>
      </c>
      <c s="72">
        <f>IF('[1]Leakage Tree Data'!W94&lt;&gt;"",'[1]Leakage Tree Data'!W94,"")</f>
        <v>-1855949.2237854</v>
      </c>
      <c s="72">
        <f>IF('[1]Leakage Tree Data'!X94&lt;&gt;"",'[1]Leakage Tree Data'!X94,"")</f>
      </c>
      <c s="72">
        <f>IF('[1]Leakage Tree Data'!Y94&lt;&gt;"",'[1]Leakage Tree Data'!Y94,"")</f>
        <v>0.109544323825034</v>
      </c>
      <c s="72">
        <f>IF('[1]Leakage Tree Data'!Z94&lt;&gt;"",'[1]Leakage Tree Data'!Z94,"")</f>
        <v>-78983.3499145508</v>
      </c>
      <c s="72">
        <f>IF('[1]Leakage Tree Data'!AA94&lt;&gt;"",'[1]Leakage Tree Data'!AA94,"")</f>
      </c>
      <c s="72">
        <f>IF('[1]Leakage Tree Data'!AB94&lt;&gt;"",'[1]Leakage Tree Data'!AB94,"")</f>
        <v>-1566353.72393417</v>
      </c>
      <c s="72">
        <f>IF('[1]Leakage Tree Data'!AC94&lt;&gt;"",'[1]Leakage Tree Data'!AC94,"")</f>
      </c>
      <c s="72">
        <f>IF('[1]Leakage Tree Data'!AD94&lt;&gt;"",'[1]Leakage Tree Data'!AD94,"")</f>
        <v>-5.85580459166651</v>
      </c>
      <c s="72">
        <f>IF('[1]Leakage Tree Data'!AE94&lt;&gt;"",'[1]Leakage Tree Data'!AE94,"")</f>
      </c>
      <c s="73">
        <f t="shared" si="77"/>
      </c>
      <c s="73">
        <f t="shared" si="78"/>
      </c>
      <c s="73">
        <f t="shared" si="79"/>
      </c>
      <c s="73">
        <f t="shared" si="80"/>
      </c>
      <c s="74">
        <f t="shared" si="81"/>
      </c>
      <c s="74">
        <f t="shared" si="82"/>
      </c>
      <c s="69" t="str">
        <f t="shared" si="55"/>
        <v>Total US - Tops</v>
      </c>
      <c s="69" t="str">
        <f t="shared" si="56"/>
        <v>Total US - GroceryX</v>
      </c>
      <c s="77"/>
    </row>
    <row r="196" spans="1:141" ht="15">
      <c r="A19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3"/>
      </c>
      <c s="75">
        <f t="shared" si="57"/>
      </c>
      <c s="76">
        <f t="shared" si="58"/>
      </c>
      <c s="75">
        <f t="shared" si="59"/>
      </c>
      <c s="76">
        <f t="shared" si="60"/>
      </c>
      <c s="75">
        <f t="shared" si="61"/>
      </c>
      <c s="76">
        <f t="shared" si="62"/>
      </c>
      <c s="75">
        <f t="shared" si="63"/>
      </c>
      <c s="76">
        <f t="shared" si="64"/>
      </c>
      <c s="75">
        <f t="shared" si="84"/>
      </c>
      <c s="76">
        <f t="shared" si="65"/>
      </c>
      <c s="75">
        <f t="shared" si="66"/>
      </c>
      <c s="76">
        <f t="shared" si="67"/>
      </c>
      <c s="75">
        <f t="shared" si="68"/>
        <v>674171.487098694</v>
      </c>
      <c s="76">
        <f t="shared" si="69"/>
        <v>54</v>
      </c>
      <c s="75">
        <f t="shared" si="70"/>
      </c>
      <c s="76">
        <f t="shared" si="71"/>
      </c>
      <c s="75">
        <f t="shared" si="72"/>
      </c>
      <c s="76">
        <f t="shared" si="73"/>
      </c>
      <c s="75">
        <f t="shared" si="85"/>
      </c>
      <c s="76">
        <f t="shared" si="74"/>
      </c>
      <c s="65" t="str">
        <f t="shared" si="75"/>
        <v>Trader Joes</v>
      </c>
      <c s="65" t="str">
        <f t="shared" si="76"/>
        <v>GroceryX</v>
      </c>
      <c s="72" t="str">
        <f>IF('[1]Leakage Tree Data'!A95&lt;&gt;"",'[1]Leakage Tree Data'!A95,"")</f>
        <v>Total US - Trader Joes</v>
      </c>
      <c s="72" t="str">
        <f>IF('[1]Leakage Tree Data'!B95&lt;&gt;"",'[1]Leakage Tree Data'!B95,"")</f>
        <v>Total US - GroceryX</v>
      </c>
      <c s="72">
        <f>IF('[1]Leakage Tree Data'!C95&lt;&gt;"",'[1]Leakage Tree Data'!C95,"")</f>
        <v>121171760.292236</v>
      </c>
      <c s="72">
        <f>IF('[1]Leakage Tree Data'!D95&lt;&gt;"",'[1]Leakage Tree Data'!D95,"")</f>
        <v>14800811.912262</v>
      </c>
      <c s="72">
        <f>IF('[1]Leakage Tree Data'!E95&lt;&gt;"",'[1]Leakage Tree Data'!E95,"")</f>
        <v>12.2147370613137</v>
      </c>
      <c s="72">
        <f>IF('[1]Leakage Tree Data'!F95&lt;&gt;"",'[1]Leakage Tree Data'!F95,"")</f>
        <v>106370948.379974</v>
      </c>
      <c s="72">
        <f>IF('[1]Leakage Tree Data'!G95&lt;&gt;"",'[1]Leakage Tree Data'!G95,"")</f>
        <v>87.7852629386863</v>
      </c>
      <c s="72">
        <f>IF('[1]Leakage Tree Data'!H95&lt;&gt;"",'[1]Leakage Tree Data'!H95,"")</f>
        <v>61518209.9918823</v>
      </c>
      <c s="72" t="str">
        <f>IF('[1]Leakage Tree Data'!I95&lt;&gt;"",'[1]Leakage Tree Data'!I95,"")</f>
        <v>GroceryX</v>
      </c>
      <c s="72">
        <f>IF('[1]Leakage Tree Data'!J95&lt;&gt;"",'[1]Leakage Tree Data'!J95,"")</f>
        <v>99.6583601391889</v>
      </c>
      <c s="72">
        <f>IF('[1]Leakage Tree Data'!K95&lt;&gt;"",'[1]Leakage Tree Data'!K95,"")</f>
        <v>210170.726989746</v>
      </c>
      <c s="72">
        <f>IF('[1]Leakage Tree Data'!L95&lt;&gt;"",'[1]Leakage Tree Data'!L95,"")</f>
      </c>
      <c s="72">
        <f>IF('[1]Leakage Tree Data'!M95&lt;&gt;"",'[1]Leakage Tree Data'!M95,"")</f>
        <v>674171.487098694</v>
      </c>
      <c s="72">
        <f>IF('[1]Leakage Tree Data'!N95&lt;&gt;"",'[1]Leakage Tree Data'!N95,"")</f>
      </c>
      <c s="72">
        <f>IF('[1]Leakage Tree Data'!O95&lt;&gt;"",'[1]Leakage Tree Data'!O95,"")</f>
        <v>1.91200676002488</v>
      </c>
      <c s="72">
        <f>IF('[1]Leakage Tree Data'!P95&lt;&gt;"",'[1]Leakage Tree Data'!P95,"")</f>
        <v>1434604.39813079</v>
      </c>
      <c s="72">
        <f>IF('[1]Leakage Tree Data'!Q95&lt;&gt;"",'[1]Leakage Tree Data'!Q95,"")</f>
      </c>
      <c s="72">
        <f>IF('[1]Leakage Tree Data'!R95&lt;&gt;"",'[1]Leakage Tree Data'!R95,"")</f>
        <v>1017625.85098267</v>
      </c>
      <c s="72">
        <f>IF('[1]Leakage Tree Data'!S95&lt;&gt;"",'[1]Leakage Tree Data'!S95,"")</f>
        <v>564755.94329834</v>
      </c>
      <c s="72">
        <f>IF('[1]Leakage Tree Data'!T95&lt;&gt;"",'[1]Leakage Tree Data'!T95,"")</f>
        <v>0.366575501859407</v>
      </c>
      <c s="72">
        <f>IF('[1]Leakage Tree Data'!U95&lt;&gt;"",'[1]Leakage Tree Data'!U95,"")</f>
        <v>452869.907684326</v>
      </c>
      <c s="72">
        <f>IF('[1]Leakage Tree Data'!V95&lt;&gt;"",'[1]Leakage Tree Data'!V95,"")</f>
        <v>-0.366575501859415</v>
      </c>
      <c s="72">
        <f>IF('[1]Leakage Tree Data'!W95&lt;&gt;"",'[1]Leakage Tree Data'!W95,"")</f>
        <v>-1855949.2237854</v>
      </c>
      <c s="72">
        <f>IF('[1]Leakage Tree Data'!X95&lt;&gt;"",'[1]Leakage Tree Data'!X95,"")</f>
      </c>
      <c s="72">
        <f>IF('[1]Leakage Tree Data'!Y95&lt;&gt;"",'[1]Leakage Tree Data'!Y95,"")</f>
        <v>-0.0872656172043804</v>
      </c>
      <c s="72">
        <f>IF('[1]Leakage Tree Data'!Z95&lt;&gt;"",'[1]Leakage Tree Data'!Z95,"")</f>
        <v>48963.1888427734</v>
      </c>
      <c s="72">
        <f>IF('[1]Leakage Tree Data'!AA95&lt;&gt;"",'[1]Leakage Tree Data'!AA95,"")</f>
      </c>
      <c s="72">
        <f>IF('[1]Leakage Tree Data'!AB95&lt;&gt;"",'[1]Leakage Tree Data'!AB95,"")</f>
        <v>-285247.09078598</v>
      </c>
      <c s="72">
        <f>IF('[1]Leakage Tree Data'!AC95&lt;&gt;"",'[1]Leakage Tree Data'!AC95,"")</f>
      </c>
      <c s="72">
        <f>IF('[1]Leakage Tree Data'!AD95&lt;&gt;"",'[1]Leakage Tree Data'!AD95,"")</f>
        <v>0.158113114502253</v>
      </c>
      <c s="72">
        <f>IF('[1]Leakage Tree Data'!AE95&lt;&gt;"",'[1]Leakage Tree Data'!AE95,"")</f>
      </c>
      <c s="73">
        <f t="shared" si="77"/>
      </c>
      <c s="73">
        <f t="shared" si="78"/>
      </c>
      <c s="73">
        <f t="shared" si="79"/>
      </c>
      <c s="73">
        <f t="shared" si="80"/>
      </c>
      <c s="74">
        <f t="shared" si="81"/>
      </c>
      <c s="74">
        <f t="shared" si="82"/>
      </c>
      <c s="69" t="str">
        <f t="shared" si="55"/>
        <v>Total US - Trader Joes</v>
      </c>
      <c s="69" t="str">
        <f t="shared" si="56"/>
        <v>Total US - GroceryX</v>
      </c>
      <c s="77"/>
    </row>
    <row r="197" spans="1:141" ht="15">
      <c r="A19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3"/>
      </c>
      <c s="75">
        <f t="shared" si="57"/>
      </c>
      <c s="76">
        <f t="shared" si="58"/>
      </c>
      <c s="75">
        <f t="shared" si="59"/>
        <v>3427871.25872803</v>
      </c>
      <c s="76">
        <f t="shared" si="60"/>
        <v>14</v>
      </c>
      <c s="75">
        <f t="shared" si="61"/>
      </c>
      <c s="76">
        <f t="shared" si="62"/>
      </c>
      <c s="75">
        <f t="shared" si="63"/>
      </c>
      <c s="76">
        <f t="shared" si="64"/>
      </c>
      <c s="75">
        <f t="shared" si="84"/>
      </c>
      <c s="76">
        <f t="shared" si="65"/>
      </c>
      <c s="75">
        <f t="shared" si="66"/>
      </c>
      <c s="76">
        <f t="shared" si="67"/>
      </c>
      <c s="75">
        <f t="shared" si="68"/>
        <v>4720912.22655487</v>
      </c>
      <c s="76">
        <f t="shared" si="69"/>
        <v>33</v>
      </c>
      <c s="75">
        <f t="shared" si="70"/>
      </c>
      <c s="76">
        <f t="shared" si="71"/>
      </c>
      <c s="75">
        <f t="shared" si="72"/>
      </c>
      <c s="76">
        <f t="shared" si="73"/>
      </c>
      <c s="75">
        <f t="shared" si="85"/>
      </c>
      <c s="76">
        <f t="shared" si="74"/>
      </c>
      <c s="65" t="str">
        <f t="shared" si="75"/>
        <v>Vons</v>
      </c>
      <c s="65" t="str">
        <f t="shared" si="76"/>
        <v>GroceryX</v>
      </c>
      <c s="72" t="str">
        <f>IF('[1]Leakage Tree Data'!A96&lt;&gt;"",'[1]Leakage Tree Data'!A96,"")</f>
        <v>Total US - Vons</v>
      </c>
      <c s="72" t="str">
        <f>IF('[1]Leakage Tree Data'!B96&lt;&gt;"",'[1]Leakage Tree Data'!B96,"")</f>
        <v>Total US - GroceryX</v>
      </c>
      <c s="72">
        <f>IF('[1]Leakage Tree Data'!C96&lt;&gt;"",'[1]Leakage Tree Data'!C96,"")</f>
        <v>121171760.292236</v>
      </c>
      <c s="72">
        <f>IF('[1]Leakage Tree Data'!D96&lt;&gt;"",'[1]Leakage Tree Data'!D96,"")</f>
        <v>4292037.90789795</v>
      </c>
      <c s="72">
        <f>IF('[1]Leakage Tree Data'!E96&lt;&gt;"",'[1]Leakage Tree Data'!E96,"")</f>
        <v>3.54211071750267</v>
      </c>
      <c s="72">
        <f>IF('[1]Leakage Tree Data'!F96&lt;&gt;"",'[1]Leakage Tree Data'!F96,"")</f>
        <v>116879722.384338</v>
      </c>
      <c s="72">
        <f>IF('[1]Leakage Tree Data'!G96&lt;&gt;"",'[1]Leakage Tree Data'!G96,"")</f>
        <v>96.4578892824973</v>
      </c>
      <c s="72">
        <f>IF('[1]Leakage Tree Data'!H96&lt;&gt;"",'[1]Leakage Tree Data'!H96,"")</f>
        <v>61518209.9918823</v>
      </c>
      <c s="72" t="str">
        <f>IF('[1]Leakage Tree Data'!I96&lt;&gt;"",'[1]Leakage Tree Data'!I96,"")</f>
        <v>GroceryX</v>
      </c>
      <c s="72">
        <f>IF('[1]Leakage Tree Data'!J96&lt;&gt;"",'[1]Leakage Tree Data'!J96,"")</f>
        <v>98.9932663486971</v>
      </c>
      <c s="72">
        <f>IF('[1]Leakage Tree Data'!K96&lt;&gt;"",'[1]Leakage Tree Data'!K96,"")</f>
        <v>619324.52166748</v>
      </c>
      <c s="72">
        <f>IF('[1]Leakage Tree Data'!L96&lt;&gt;"",'[1]Leakage Tree Data'!L96,"")</f>
        <v>3427871.25872803</v>
      </c>
      <c s="72">
        <f>IF('[1]Leakage Tree Data'!M96&lt;&gt;"",'[1]Leakage Tree Data'!M96,"")</f>
        <v>4720912.22655487</v>
      </c>
      <c s="72">
        <f>IF('[1]Leakage Tree Data'!N96&lt;&gt;"",'[1]Leakage Tree Data'!N96,"")</f>
        <v>3427871.25872803</v>
      </c>
      <c s="72">
        <f>IF('[1]Leakage Tree Data'!O96&lt;&gt;"",'[1]Leakage Tree Data'!O96,"")</f>
        <v>21.2137412373858</v>
      </c>
      <c s="72">
        <f>IF('[1]Leakage Tree Data'!P96&lt;&gt;"",'[1]Leakage Tree Data'!P96,"")</f>
        <v>969051.71153091</v>
      </c>
      <c s="72">
        <f>IF('[1]Leakage Tree Data'!Q96&lt;&gt;"",'[1]Leakage Tree Data'!Q96,"")</f>
      </c>
      <c s="72">
        <f>IF('[1]Leakage Tree Data'!R96&lt;&gt;"",'[1]Leakage Tree Data'!R96,"")</f>
        <v>1017625.85098267</v>
      </c>
      <c s="72">
        <f>IF('[1]Leakage Tree Data'!S96&lt;&gt;"",'[1]Leakage Tree Data'!S96,"")</f>
        <v>-92329.8456420898</v>
      </c>
      <c s="72">
        <f>IF('[1]Leakage Tree Data'!T96&lt;&gt;"",'[1]Leakage Tree Data'!T96,"")</f>
        <v>-0.106842166164985</v>
      </c>
      <c s="72">
        <f>IF('[1]Leakage Tree Data'!U96&lt;&gt;"",'[1]Leakage Tree Data'!U96,"")</f>
        <v>1109955.69662476</v>
      </c>
      <c s="72">
        <f>IF('[1]Leakage Tree Data'!V96&lt;&gt;"",'[1]Leakage Tree Data'!V96,"")</f>
        <v>0.106842166164995</v>
      </c>
      <c s="72">
        <f>IF('[1]Leakage Tree Data'!W96&lt;&gt;"",'[1]Leakage Tree Data'!W96,"")</f>
        <v>-1855949.2237854</v>
      </c>
      <c s="72">
        <f>IF('[1]Leakage Tree Data'!X96&lt;&gt;"",'[1]Leakage Tree Data'!X96,"")</f>
      </c>
      <c s="72">
        <f>IF('[1]Leakage Tree Data'!Y96&lt;&gt;"",'[1]Leakage Tree Data'!Y96,"")</f>
        <v>0.322689296323688</v>
      </c>
      <c s="72">
        <f>IF('[1]Leakage Tree Data'!Z96&lt;&gt;"",'[1]Leakage Tree Data'!Z96,"")</f>
        <v>-223186.093811035</v>
      </c>
      <c s="72">
        <f>IF('[1]Leakage Tree Data'!AA96&lt;&gt;"",'[1]Leakage Tree Data'!AA96,"")</f>
        <v>-939894.248321533</v>
      </c>
      <c s="72">
        <f>IF('[1]Leakage Tree Data'!AB96&lt;&gt;"",'[1]Leakage Tree Data'!AB96,"")</f>
        <v>-2273443.15398407</v>
      </c>
      <c s="72">
        <f>IF('[1]Leakage Tree Data'!AC96&lt;&gt;"",'[1]Leakage Tree Data'!AC96,"")</f>
        <v>-939894.248321533</v>
      </c>
      <c s="72">
        <f>IF('[1]Leakage Tree Data'!AD96&lt;&gt;"",'[1]Leakage Tree Data'!AD96,"")</f>
        <v>-5.25305097326399</v>
      </c>
      <c s="72">
        <f>IF('[1]Leakage Tree Data'!AE96&lt;&gt;"",'[1]Leakage Tree Data'!AE96,"")</f>
      </c>
      <c s="73">
        <f t="shared" si="77"/>
      </c>
      <c s="73">
        <f t="shared" si="78"/>
      </c>
      <c s="73">
        <f t="shared" si="79"/>
      </c>
      <c s="73">
        <f t="shared" si="80"/>
      </c>
      <c s="74">
        <f t="shared" si="81"/>
      </c>
      <c s="74">
        <f t="shared" si="82"/>
      </c>
      <c s="69" t="str">
        <f t="shared" si="55"/>
        <v>Total US - Vons</v>
      </c>
      <c s="69" t="str">
        <f t="shared" si="56"/>
        <v>Total US - GroceryX</v>
      </c>
      <c s="77"/>
    </row>
    <row r="198" spans="1:141" ht="15">
      <c r="A19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3"/>
      </c>
      <c s="75">
        <f t="shared" si="57"/>
      </c>
      <c s="76">
        <f t="shared" si="58"/>
      </c>
      <c s="75">
        <f t="shared" si="59"/>
        <v>1918185.25552368</v>
      </c>
      <c s="76">
        <f t="shared" si="60"/>
        <v>25</v>
      </c>
      <c s="75">
        <f t="shared" si="61"/>
      </c>
      <c s="76">
        <f t="shared" si="62"/>
      </c>
      <c s="75">
        <f t="shared" si="63"/>
      </c>
      <c s="76">
        <f t="shared" si="64"/>
      </c>
      <c s="75">
        <f t="shared" si="84"/>
      </c>
      <c s="76">
        <f t="shared" si="65"/>
      </c>
      <c s="75">
        <f t="shared" si="66"/>
      </c>
      <c s="76">
        <f t="shared" si="67"/>
      </c>
      <c s="75">
        <f t="shared" si="68"/>
        <v>7545620.76542282</v>
      </c>
      <c s="76">
        <f t="shared" si="69"/>
        <v>20</v>
      </c>
      <c s="75">
        <f t="shared" si="70"/>
      </c>
      <c s="76">
        <f t="shared" si="71"/>
      </c>
      <c s="75">
        <f t="shared" si="72"/>
      </c>
      <c s="76">
        <f t="shared" si="73"/>
      </c>
      <c s="75">
        <f t="shared" si="85"/>
      </c>
      <c s="76">
        <f t="shared" si="74"/>
      </c>
      <c s="65" t="str">
        <f t="shared" si="75"/>
        <v>Wegmans</v>
      </c>
      <c s="65" t="str">
        <f t="shared" si="76"/>
        <v>GroceryX</v>
      </c>
      <c s="72" t="str">
        <f>IF('[1]Leakage Tree Data'!A97&lt;&gt;"",'[1]Leakage Tree Data'!A97,"")</f>
        <v>Total US - Wegmans</v>
      </c>
      <c s="72" t="str">
        <f>IF('[1]Leakage Tree Data'!B97&lt;&gt;"",'[1]Leakage Tree Data'!B97,"")</f>
        <v>Total US - GroceryX</v>
      </c>
      <c s="72">
        <f>IF('[1]Leakage Tree Data'!C97&lt;&gt;"",'[1]Leakage Tree Data'!C97,"")</f>
        <v>121171760.292236</v>
      </c>
      <c s="72">
        <f>IF('[1]Leakage Tree Data'!D97&lt;&gt;"",'[1]Leakage Tree Data'!D97,"")</f>
        <v>3741689.43341064</v>
      </c>
      <c s="72">
        <f>IF('[1]Leakage Tree Data'!E97&lt;&gt;"",'[1]Leakage Tree Data'!E97,"")</f>
        <v>3.08792199138365</v>
      </c>
      <c s="72">
        <f>IF('[1]Leakage Tree Data'!F97&lt;&gt;"",'[1]Leakage Tree Data'!F97,"")</f>
        <v>117430070.858826</v>
      </c>
      <c s="72">
        <f>IF('[1]Leakage Tree Data'!G97&lt;&gt;"",'[1]Leakage Tree Data'!G97,"")</f>
        <v>96.9120780086163</v>
      </c>
      <c s="72">
        <f>IF('[1]Leakage Tree Data'!H97&lt;&gt;"",'[1]Leakage Tree Data'!H97,"")</f>
        <v>61518209.9918823</v>
      </c>
      <c s="72" t="str">
        <f>IF('[1]Leakage Tree Data'!I97&lt;&gt;"",'[1]Leakage Tree Data'!I97,"")</f>
        <v>GroceryX</v>
      </c>
      <c s="72">
        <f>IF('[1]Leakage Tree Data'!J97&lt;&gt;"",'[1]Leakage Tree Data'!J97,"")</f>
        <v>98.9949488180416</v>
      </c>
      <c s="72">
        <f>IF('[1]Leakage Tree Data'!K97&lt;&gt;"",'[1]Leakage Tree Data'!K97,"")</f>
        <v>618289.496643066</v>
      </c>
      <c s="72">
        <f>IF('[1]Leakage Tree Data'!L97&lt;&gt;"",'[1]Leakage Tree Data'!L97,"")</f>
        <v>1918185.25552368</v>
      </c>
      <c s="72">
        <f>IF('[1]Leakage Tree Data'!M97&lt;&gt;"",'[1]Leakage Tree Data'!M97,"")</f>
        <v>7545620.76542282</v>
      </c>
      <c s="72">
        <f>IF('[1]Leakage Tree Data'!N97&lt;&gt;"",'[1]Leakage Tree Data'!N97,"")</f>
        <v>1918185.25552368</v>
      </c>
      <c s="72">
        <f>IF('[1]Leakage Tree Data'!O97&lt;&gt;"",'[1]Leakage Tree Data'!O97,"")</f>
        <v>25.6380057690047</v>
      </c>
      <c s="72">
        <f>IF('[1]Leakage Tree Data'!P97&lt;&gt;"",'[1]Leakage Tree Data'!P97,"")</f>
        <v>762117.03532657</v>
      </c>
      <c s="72">
        <f>IF('[1]Leakage Tree Data'!Q97&lt;&gt;"",'[1]Leakage Tree Data'!Q97,"")</f>
      </c>
      <c s="72">
        <f>IF('[1]Leakage Tree Data'!R97&lt;&gt;"",'[1]Leakage Tree Data'!R97,"")</f>
        <v>1017625.85098267</v>
      </c>
      <c s="72">
        <f>IF('[1]Leakage Tree Data'!S97&lt;&gt;"",'[1]Leakage Tree Data'!S97,"")</f>
        <v>124468.864807129</v>
      </c>
      <c s="72">
        <f>IF('[1]Leakage Tree Data'!T97&lt;&gt;"",'[1]Leakage Tree Data'!T97,"")</f>
        <v>0.0774383443377245</v>
      </c>
      <c s="72">
        <f>IF('[1]Leakage Tree Data'!U97&lt;&gt;"",'[1]Leakage Tree Data'!U97,"")</f>
        <v>893156.986175537</v>
      </c>
      <c s="72">
        <f>IF('[1]Leakage Tree Data'!V97&lt;&gt;"",'[1]Leakage Tree Data'!V97,"")</f>
        <v>-0.0774383443377218</v>
      </c>
      <c s="72">
        <f>IF('[1]Leakage Tree Data'!W97&lt;&gt;"",'[1]Leakage Tree Data'!W97,"")</f>
        <v>-1855949.2237854</v>
      </c>
      <c s="72">
        <f>IF('[1]Leakage Tree Data'!X97&lt;&gt;"",'[1]Leakage Tree Data'!X97,"")</f>
      </c>
      <c s="72">
        <f>IF('[1]Leakage Tree Data'!Y97&lt;&gt;"",'[1]Leakage Tree Data'!Y97,"")</f>
        <v>0.0712739569375032</v>
      </c>
      <c s="72">
        <f>IF('[1]Leakage Tree Data'!Z97&lt;&gt;"",'[1]Leakage Tree Data'!Z97,"")</f>
        <v>-63822.510559082</v>
      </c>
      <c s="72">
        <f>IF('[1]Leakage Tree Data'!AA97&lt;&gt;"",'[1]Leakage Tree Data'!AA97,"")</f>
        <v>-362837.055245399</v>
      </c>
      <c s="72">
        <f>IF('[1]Leakage Tree Data'!AB97&lt;&gt;"",'[1]Leakage Tree Data'!AB97,"")</f>
        <v>-460473.649785995</v>
      </c>
      <c s="72">
        <f>IF('[1]Leakage Tree Data'!AC97&lt;&gt;"",'[1]Leakage Tree Data'!AC97,"")</f>
        <v>-362837.055245399</v>
      </c>
      <c s="72">
        <f>IF('[1]Leakage Tree Data'!AD97&lt;&gt;"",'[1]Leakage Tree Data'!AD97,"")</f>
        <v>-2.82650497612035</v>
      </c>
      <c s="72">
        <f>IF('[1]Leakage Tree Data'!AE97&lt;&gt;"",'[1]Leakage Tree Data'!AE97,"")</f>
      </c>
      <c s="73">
        <f t="shared" si="77"/>
      </c>
      <c s="73">
        <f t="shared" si="78"/>
      </c>
      <c s="73">
        <f t="shared" si="79"/>
      </c>
      <c s="73">
        <f t="shared" si="80"/>
      </c>
      <c s="74">
        <f t="shared" si="81"/>
      </c>
      <c s="74">
        <f t="shared" si="82"/>
      </c>
      <c s="69" t="str">
        <f t="shared" si="55"/>
        <v>Total US - Wegmans</v>
      </c>
      <c s="69" t="str">
        <f t="shared" si="56"/>
        <v>Total US - GroceryX</v>
      </c>
      <c s="77"/>
    </row>
    <row r="199" spans="1:141" ht="15">
      <c r="A19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3"/>
      </c>
      <c s="75">
        <f t="shared" si="57"/>
      </c>
      <c s="76">
        <f t="shared" si="58"/>
      </c>
      <c s="75">
        <f t="shared" si="59"/>
      </c>
      <c s="76">
        <f t="shared" si="60"/>
      </c>
      <c s="75">
        <f t="shared" si="61"/>
      </c>
      <c s="76">
        <f t="shared" si="62"/>
      </c>
      <c s="75">
        <f t="shared" si="63"/>
      </c>
      <c s="76">
        <f t="shared" si="64"/>
      </c>
      <c s="75">
        <f t="shared" si="84"/>
      </c>
      <c s="76">
        <f t="shared" si="65"/>
      </c>
      <c s="75">
        <f t="shared" si="66"/>
      </c>
      <c s="76">
        <f t="shared" si="67"/>
      </c>
      <c s="75">
        <f t="shared" si="68"/>
        <v>5457862.89881897</v>
      </c>
      <c s="76">
        <f t="shared" si="69"/>
        <v>28</v>
      </c>
      <c s="75">
        <f t="shared" si="70"/>
      </c>
      <c s="76">
        <f t="shared" si="71"/>
      </c>
      <c s="75">
        <f t="shared" si="72"/>
      </c>
      <c s="76">
        <f t="shared" si="73"/>
      </c>
      <c s="75">
        <f t="shared" si="85"/>
      </c>
      <c s="76">
        <f t="shared" si="74"/>
      </c>
      <c s="65" t="str">
        <f t="shared" si="75"/>
        <v>Weis Markets</v>
      </c>
      <c s="65" t="str">
        <f t="shared" si="76"/>
        <v>GroceryX</v>
      </c>
      <c s="72" t="str">
        <f>IF('[1]Leakage Tree Data'!A98&lt;&gt;"",'[1]Leakage Tree Data'!A98,"")</f>
        <v>Total US - Weis Markets</v>
      </c>
      <c s="72" t="str">
        <f>IF('[1]Leakage Tree Data'!B98&lt;&gt;"",'[1]Leakage Tree Data'!B98,"")</f>
        <v>Total US - GroceryX</v>
      </c>
      <c s="72">
        <f>IF('[1]Leakage Tree Data'!C98&lt;&gt;"",'[1]Leakage Tree Data'!C98,"")</f>
        <v>121171760.292236</v>
      </c>
      <c s="72">
        <f>IF('[1]Leakage Tree Data'!D98&lt;&gt;"",'[1]Leakage Tree Data'!D98,"")</f>
        <v>2261254.16235352</v>
      </c>
      <c s="72">
        <f>IF('[1]Leakage Tree Data'!E98&lt;&gt;"",'[1]Leakage Tree Data'!E98,"")</f>
        <v>1.86615607209133</v>
      </c>
      <c s="72">
        <f>IF('[1]Leakage Tree Data'!F98&lt;&gt;"",'[1]Leakage Tree Data'!F98,"")</f>
        <v>118910506.129883</v>
      </c>
      <c s="72">
        <f>IF('[1]Leakage Tree Data'!G98&lt;&gt;"",'[1]Leakage Tree Data'!G98,"")</f>
        <v>98.1338439279087</v>
      </c>
      <c s="72">
        <f>IF('[1]Leakage Tree Data'!H98&lt;&gt;"",'[1]Leakage Tree Data'!H98,"")</f>
        <v>61518209.9918823</v>
      </c>
      <c s="72" t="str">
        <f>IF('[1]Leakage Tree Data'!I98&lt;&gt;"",'[1]Leakage Tree Data'!I98,"")</f>
        <v>GroceryX</v>
      </c>
      <c s="72">
        <f>IF('[1]Leakage Tree Data'!J98&lt;&gt;"",'[1]Leakage Tree Data'!J98,"")</f>
        <v>99.3807951685104</v>
      </c>
      <c s="72">
        <f>IF('[1]Leakage Tree Data'!K98&lt;&gt;"",'[1]Leakage Tree Data'!K98,"")</f>
        <v>380923.728515625</v>
      </c>
      <c s="72">
        <f>IF('[1]Leakage Tree Data'!L98&lt;&gt;"",'[1]Leakage Tree Data'!L98,"")</f>
      </c>
      <c s="72">
        <f>IF('[1]Leakage Tree Data'!M98&lt;&gt;"",'[1]Leakage Tree Data'!M98,"")</f>
        <v>5457862.89881897</v>
      </c>
      <c s="72">
        <f>IF('[1]Leakage Tree Data'!N98&lt;&gt;"",'[1]Leakage Tree Data'!N98,"")</f>
      </c>
      <c s="72">
        <f>IF('[1]Leakage Tree Data'!O98&lt;&gt;"",'[1]Leakage Tree Data'!O98,"")</f>
        <v>32.9075194114765</v>
      </c>
      <c s="72">
        <f>IF('[1]Leakage Tree Data'!P98&lt;&gt;"",'[1]Leakage Tree Data'!P98,"")</f>
        <v>515310.72797648</v>
      </c>
      <c s="72">
        <f>IF('[1]Leakage Tree Data'!Q98&lt;&gt;"",'[1]Leakage Tree Data'!Q98,"")</f>
      </c>
      <c s="72">
        <f>IF('[1]Leakage Tree Data'!R98&lt;&gt;"",'[1]Leakage Tree Data'!R98,"")</f>
        <v>1017625.85098267</v>
      </c>
      <c s="72">
        <f>IF('[1]Leakage Tree Data'!S98&lt;&gt;"",'[1]Leakage Tree Data'!S98,"")</f>
        <v>-19145.8709716797</v>
      </c>
      <c s="72">
        <f>IF('[1]Leakage Tree Data'!T98&lt;&gt;"",'[1]Leakage Tree Data'!T98,"")</f>
        <v>-0.0317395300280818</v>
      </c>
      <c s="72">
        <f>IF('[1]Leakage Tree Data'!U98&lt;&gt;"",'[1]Leakage Tree Data'!U98,"")</f>
        <v>1036771.72195435</v>
      </c>
      <c s="72">
        <f>IF('[1]Leakage Tree Data'!V98&lt;&gt;"",'[1]Leakage Tree Data'!V98,"")</f>
        <v>0.0317395300280765</v>
      </c>
      <c s="72">
        <f>IF('[1]Leakage Tree Data'!W98&lt;&gt;"",'[1]Leakage Tree Data'!W98,"")</f>
        <v>-1855949.2237854</v>
      </c>
      <c s="72">
        <f>IF('[1]Leakage Tree Data'!X98&lt;&gt;"",'[1]Leakage Tree Data'!X98,"")</f>
      </c>
      <c s="72">
        <f>IF('[1]Leakage Tree Data'!Y98&lt;&gt;"",'[1]Leakage Tree Data'!Y98,"")</f>
        <v>0.0080700107276499</v>
      </c>
      <c s="72">
        <f>IF('[1]Leakage Tree Data'!Z98&lt;&gt;"",'[1]Leakage Tree Data'!Z98,"")</f>
        <v>-16606.4287109375</v>
      </c>
      <c s="72">
        <f>IF('[1]Leakage Tree Data'!AA98&lt;&gt;"",'[1]Leakage Tree Data'!AA98,"")</f>
      </c>
      <c s="72">
        <f>IF('[1]Leakage Tree Data'!AB98&lt;&gt;"",'[1]Leakage Tree Data'!AB98,"")</f>
        <v>536322.083450317</v>
      </c>
      <c s="72">
        <f>IF('[1]Leakage Tree Data'!AC98&lt;&gt;"",'[1]Leakage Tree Data'!AC98,"")</f>
      </c>
      <c s="72">
        <f>IF('[1]Leakage Tree Data'!AD98&lt;&gt;"",'[1]Leakage Tree Data'!AD98,"")</f>
        <v>-0.804055244831723</v>
      </c>
      <c s="72">
        <f>IF('[1]Leakage Tree Data'!AE98&lt;&gt;"",'[1]Leakage Tree Data'!AE98,"")</f>
      </c>
      <c s="73">
        <f t="shared" si="77"/>
      </c>
      <c s="73">
        <f t="shared" si="78"/>
      </c>
      <c s="73">
        <f t="shared" si="79"/>
      </c>
      <c s="73">
        <f t="shared" si="80"/>
      </c>
      <c s="74">
        <f t="shared" si="81"/>
      </c>
      <c s="74">
        <f t="shared" si="82"/>
      </c>
      <c s="69" t="str">
        <f t="shared" si="55"/>
        <v>Total US - Weis Markets</v>
      </c>
      <c s="69" t="str">
        <f t="shared" si="56"/>
        <v>Total US - GroceryX</v>
      </c>
      <c s="77"/>
    </row>
    <row r="200" spans="1:141" ht="15">
      <c r="A20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3"/>
      </c>
      <c s="75">
        <f t="shared" si="57"/>
      </c>
      <c s="76">
        <f t="shared" si="58"/>
      </c>
      <c s="75">
        <f t="shared" si="59"/>
      </c>
      <c s="76">
        <f t="shared" si="60"/>
      </c>
      <c s="75">
        <f t="shared" si="61"/>
      </c>
      <c s="76">
        <f t="shared" si="62"/>
      </c>
      <c s="75">
        <f t="shared" si="63"/>
      </c>
      <c s="76">
        <f t="shared" si="64"/>
      </c>
      <c s="75">
        <f t="shared" si="84"/>
      </c>
      <c s="76">
        <f t="shared" si="65"/>
      </c>
      <c s="75">
        <f t="shared" si="66"/>
      </c>
      <c s="76">
        <f t="shared" si="67"/>
      </c>
      <c s="75">
        <f t="shared" si="68"/>
      </c>
      <c s="76">
        <f t="shared" si="69"/>
      </c>
      <c s="75">
        <f t="shared" si="70"/>
      </c>
      <c s="76">
        <f t="shared" si="71"/>
      </c>
      <c s="75">
        <f t="shared" si="72"/>
      </c>
      <c s="76">
        <f t="shared" si="73"/>
      </c>
      <c s="75">
        <f t="shared" si="85"/>
      </c>
      <c s="76">
        <f t="shared" si="74"/>
      </c>
      <c s="65" t="str">
        <f t="shared" si="75"/>
        <v>Whole Foods</v>
      </c>
      <c s="65" t="str">
        <f t="shared" si="76"/>
        <v>GroceryX</v>
      </c>
      <c s="72" t="str">
        <f>IF('[1]Leakage Tree Data'!A99&lt;&gt;"",'[1]Leakage Tree Data'!A99,"")</f>
        <v>Total US - Whole Foods</v>
      </c>
      <c s="72" t="str">
        <f>IF('[1]Leakage Tree Data'!B99&lt;&gt;"",'[1]Leakage Tree Data'!B99,"")</f>
        <v>Total US - GroceryX</v>
      </c>
      <c s="72">
        <f>IF('[1]Leakage Tree Data'!C99&lt;&gt;"",'[1]Leakage Tree Data'!C99,"")</f>
        <v>121171760.292236</v>
      </c>
      <c s="72">
        <f>IF('[1]Leakage Tree Data'!D99&lt;&gt;"",'[1]Leakage Tree Data'!D99,"")</f>
        <v>8600610.73690796</v>
      </c>
      <c s="72">
        <f>IF('[1]Leakage Tree Data'!E99&lt;&gt;"",'[1]Leakage Tree Data'!E99,"")</f>
        <v>7.09786728868625</v>
      </c>
      <c s="72">
        <f>IF('[1]Leakage Tree Data'!F99&lt;&gt;"",'[1]Leakage Tree Data'!F99,"")</f>
        <v>112571149.555328</v>
      </c>
      <c s="72">
        <f>IF('[1]Leakage Tree Data'!G99&lt;&gt;"",'[1]Leakage Tree Data'!G99,"")</f>
        <v>92.9021327113138</v>
      </c>
      <c s="72">
        <f>IF('[1]Leakage Tree Data'!H99&lt;&gt;"",'[1]Leakage Tree Data'!H99,"")</f>
        <v>61518209.9918823</v>
      </c>
      <c s="72" t="str">
        <f>IF('[1]Leakage Tree Data'!I99&lt;&gt;"",'[1]Leakage Tree Data'!I99,"")</f>
        <v>GroceryX</v>
      </c>
      <c s="72">
        <f>IF('[1]Leakage Tree Data'!J99&lt;&gt;"",'[1]Leakage Tree Data'!J99,"")</f>
        <v>99.8142368452892</v>
      </c>
      <c s="72">
        <f>IF('[1]Leakage Tree Data'!K99&lt;&gt;"",'[1]Leakage Tree Data'!K99,"")</f>
        <v>114278.167602539</v>
      </c>
      <c s="72">
        <f>IF('[1]Leakage Tree Data'!L99&lt;&gt;"",'[1]Leakage Tree Data'!L99,"")</f>
      </c>
      <c s="72">
        <f>IF('[1]Leakage Tree Data'!M99&lt;&gt;"",'[1]Leakage Tree Data'!M99,"")</f>
      </c>
      <c s="72">
        <f>IF('[1]Leakage Tree Data'!N99&lt;&gt;"",'[1]Leakage Tree Data'!N99,"")</f>
      </c>
      <c s="72">
        <f>IF('[1]Leakage Tree Data'!O99&lt;&gt;"",'[1]Leakage Tree Data'!O99,"")</f>
        <v>1.98033701250606</v>
      </c>
      <c s="72">
        <f>IF('[1]Leakage Tree Data'!P99&lt;&gt;"",'[1]Leakage Tree Data'!P99,"")</f>
        <v>1232632.65035048</v>
      </c>
      <c s="72">
        <f>IF('[1]Leakage Tree Data'!Q99&lt;&gt;"",'[1]Leakage Tree Data'!Q99,"")</f>
      </c>
      <c s="72">
        <f>IF('[1]Leakage Tree Data'!R99&lt;&gt;"",'[1]Leakage Tree Data'!R99,"")</f>
        <v>1017625.85098267</v>
      </c>
      <c s="72">
        <f>IF('[1]Leakage Tree Data'!S99&lt;&gt;"",'[1]Leakage Tree Data'!S99,"")</f>
        <v>-43910.1837463379</v>
      </c>
      <c s="72">
        <f>IF('[1]Leakage Tree Data'!T99&lt;&gt;"",'[1]Leakage Tree Data'!T99,"")</f>
        <v>-0.0966591093053362</v>
      </c>
      <c s="72">
        <f>IF('[1]Leakage Tree Data'!U99&lt;&gt;"",'[1]Leakage Tree Data'!U99,"")</f>
        <v>1061536.034729</v>
      </c>
      <c s="72">
        <f>IF('[1]Leakage Tree Data'!V99&lt;&gt;"",'[1]Leakage Tree Data'!V99,"")</f>
        <v>0.0966591093053353</v>
      </c>
      <c s="72">
        <f>IF('[1]Leakage Tree Data'!W99&lt;&gt;"",'[1]Leakage Tree Data'!W99,"")</f>
        <v>-1855949.2237854</v>
      </c>
      <c s="72">
        <f>IF('[1]Leakage Tree Data'!X99&lt;&gt;"",'[1]Leakage Tree Data'!X99,"")</f>
      </c>
      <c s="72">
        <f>IF('[1]Leakage Tree Data'!Y99&lt;&gt;"",'[1]Leakage Tree Data'!Y99,"")</f>
        <v>0.0450121189232817</v>
      </c>
      <c s="72">
        <f>IF('[1]Leakage Tree Data'!Z99&lt;&gt;"",'[1]Leakage Tree Data'!Z99,"")</f>
        <v>-31973.7217407227</v>
      </c>
      <c s="72">
        <f>IF('[1]Leakage Tree Data'!AA99&lt;&gt;"",'[1]Leakage Tree Data'!AA99,"")</f>
      </c>
      <c s="72">
        <f>IF('[1]Leakage Tree Data'!AB99&lt;&gt;"",'[1]Leakage Tree Data'!AB99,"")</f>
      </c>
      <c s="72">
        <f>IF('[1]Leakage Tree Data'!AC99&lt;&gt;"",'[1]Leakage Tree Data'!AC99,"")</f>
      </c>
      <c s="72">
        <f>IF('[1]Leakage Tree Data'!AD99&lt;&gt;"",'[1]Leakage Tree Data'!AD99,"")</f>
        <v>-0.199081717684753</v>
      </c>
      <c s="72">
        <f>IF('[1]Leakage Tree Data'!AE99&lt;&gt;"",'[1]Leakage Tree Data'!AE99,"")</f>
      </c>
      <c s="73">
        <f t="shared" si="77"/>
      </c>
      <c s="73">
        <f t="shared" si="78"/>
      </c>
      <c s="73">
        <f t="shared" si="79"/>
      </c>
      <c s="73">
        <f t="shared" si="80"/>
      </c>
      <c s="74">
        <f t="shared" si="81"/>
      </c>
      <c s="74">
        <f t="shared" si="82"/>
      </c>
      <c s="69" t="str">
        <f t="shared" si="55"/>
        <v>Total US - Whole Foods</v>
      </c>
      <c s="69" t="str">
        <f t="shared" si="56"/>
        <v>Total US - GroceryX</v>
      </c>
      <c s="77"/>
    </row>
    <row r="201" spans="1:141" ht="15">
      <c r="A20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3"/>
      </c>
      <c s="75">
        <f t="shared" si="57"/>
      </c>
      <c s="76">
        <f t="shared" si="58"/>
      </c>
      <c s="75">
        <f t="shared" si="59"/>
        <v>1943703.61079407</v>
      </c>
      <c s="76">
        <f t="shared" si="60"/>
        <v>24</v>
      </c>
      <c s="75">
        <f t="shared" si="61"/>
      </c>
      <c s="76">
        <f t="shared" si="62"/>
      </c>
      <c s="75">
        <f t="shared" si="63"/>
      </c>
      <c s="76">
        <f t="shared" si="64"/>
      </c>
      <c s="75">
        <f t="shared" si="84"/>
      </c>
      <c s="76">
        <f t="shared" si="65"/>
      </c>
      <c s="75">
        <f t="shared" si="66"/>
      </c>
      <c s="76">
        <f t="shared" si="67"/>
      </c>
      <c s="75">
        <f t="shared" si="68"/>
        <v>8265336.88293457</v>
      </c>
      <c s="76">
        <f t="shared" si="69"/>
        <v>17</v>
      </c>
      <c s="75">
        <f t="shared" si="70"/>
      </c>
      <c s="76">
        <f t="shared" si="71"/>
      </c>
      <c s="75">
        <f t="shared" si="72"/>
      </c>
      <c s="76">
        <f t="shared" si="73"/>
      </c>
      <c s="75">
        <f t="shared" si="85"/>
      </c>
      <c s="76">
        <f t="shared" si="74"/>
      </c>
      <c s="65" t="str">
        <f t="shared" si="75"/>
        <v>Winco Foods</v>
      </c>
      <c s="65" t="str">
        <f t="shared" si="76"/>
        <v>GroceryX</v>
      </c>
      <c s="72" t="str">
        <f>IF('[1]Leakage Tree Data'!A100&lt;&gt;"",'[1]Leakage Tree Data'!A100,"")</f>
        <v>Total US - Winco Foods</v>
      </c>
      <c s="72" t="str">
        <f>IF('[1]Leakage Tree Data'!B100&lt;&gt;"",'[1]Leakage Tree Data'!B100,"")</f>
        <v>Total US - GroceryX</v>
      </c>
      <c s="72">
        <f>IF('[1]Leakage Tree Data'!C100&lt;&gt;"",'[1]Leakage Tree Data'!C100,"")</f>
        <v>121171760.292236</v>
      </c>
      <c s="72">
        <f>IF('[1]Leakage Tree Data'!D100&lt;&gt;"",'[1]Leakage Tree Data'!D100,"")</f>
        <v>5405313.61218262</v>
      </c>
      <c s="72">
        <f>IF('[1]Leakage Tree Data'!E100&lt;&gt;"",'[1]Leakage Tree Data'!E100,"")</f>
        <v>4.46086909948848</v>
      </c>
      <c s="72">
        <f>IF('[1]Leakage Tree Data'!F100&lt;&gt;"",'[1]Leakage Tree Data'!F100,"")</f>
        <v>115766446.680054</v>
      </c>
      <c s="72">
        <f>IF('[1]Leakage Tree Data'!G100&lt;&gt;"",'[1]Leakage Tree Data'!G100,"")</f>
        <v>95.5391309005115</v>
      </c>
      <c s="72">
        <f>IF('[1]Leakage Tree Data'!H100&lt;&gt;"",'[1]Leakage Tree Data'!H100,"")</f>
        <v>61518209.9918823</v>
      </c>
      <c s="72" t="str">
        <f>IF('[1]Leakage Tree Data'!I100&lt;&gt;"",'[1]Leakage Tree Data'!I100,"")</f>
        <v>GroceryX</v>
      </c>
      <c s="72">
        <f>IF('[1]Leakage Tree Data'!J100&lt;&gt;"",'[1]Leakage Tree Data'!J100,"")</f>
        <v>98.8930079628048</v>
      </c>
      <c s="72">
        <f>IF('[1]Leakage Tree Data'!K100&lt;&gt;"",'[1]Leakage Tree Data'!K100,"")</f>
        <v>681001.686035156</v>
      </c>
      <c s="72">
        <f>IF('[1]Leakage Tree Data'!L100&lt;&gt;"",'[1]Leakage Tree Data'!L100,"")</f>
        <v>1943703.61079407</v>
      </c>
      <c s="72">
        <f>IF('[1]Leakage Tree Data'!M100&lt;&gt;"",'[1]Leakage Tree Data'!M100,"")</f>
        <v>8265336.88293457</v>
      </c>
      <c s="72">
        <f>IF('[1]Leakage Tree Data'!N100&lt;&gt;"",'[1]Leakage Tree Data'!N100,"")</f>
        <v>1943703.61079407</v>
      </c>
      <c s="72">
        <f>IF('[1]Leakage Tree Data'!O100&lt;&gt;"",'[1]Leakage Tree Data'!O100,"")</f>
        <v>23.2620113152498</v>
      </c>
      <c s="72">
        <f>IF('[1]Leakage Tree Data'!P100&lt;&gt;"",'[1]Leakage Tree Data'!P100,"")</f>
        <v>849322.314649546</v>
      </c>
      <c s="72">
        <f>IF('[1]Leakage Tree Data'!Q100&lt;&gt;"",'[1]Leakage Tree Data'!Q100,"")</f>
      </c>
      <c s="72">
        <f>IF('[1]Leakage Tree Data'!R100&lt;&gt;"",'[1]Leakage Tree Data'!R100,"")</f>
        <v>1017625.85098267</v>
      </c>
      <c s="72">
        <f>IF('[1]Leakage Tree Data'!S100&lt;&gt;"",'[1]Leakage Tree Data'!S100,"")</f>
        <v>187670.81918335</v>
      </c>
      <c s="72">
        <f>IF('[1]Leakage Tree Data'!T100&lt;&gt;"",'[1]Leakage Tree Data'!T100,"")</f>
        <v>0.118411124769094</v>
      </c>
      <c s="72">
        <f>IF('[1]Leakage Tree Data'!U100&lt;&gt;"",'[1]Leakage Tree Data'!U100,"")</f>
        <v>829955.031799316</v>
      </c>
      <c s="72">
        <f>IF('[1]Leakage Tree Data'!V100&lt;&gt;"",'[1]Leakage Tree Data'!V100,"")</f>
        <v>-0.118411124769096</v>
      </c>
      <c s="72">
        <f>IF('[1]Leakage Tree Data'!W100&lt;&gt;"",'[1]Leakage Tree Data'!W100,"")</f>
        <v>-1855949.2237854</v>
      </c>
      <c s="72">
        <f>IF('[1]Leakage Tree Data'!X100&lt;&gt;"",'[1]Leakage Tree Data'!X100,"")</f>
      </c>
      <c s="72">
        <f>IF('[1]Leakage Tree Data'!Y100&lt;&gt;"",'[1]Leakage Tree Data'!Y100,"")</f>
        <v>0.149419064200373</v>
      </c>
      <c s="72">
        <f>IF('[1]Leakage Tree Data'!Z100&lt;&gt;"",'[1]Leakage Tree Data'!Z100,"")</f>
        <v>-115238.285766602</v>
      </c>
      <c s="72">
        <f>IF('[1]Leakage Tree Data'!AA100&lt;&gt;"",'[1]Leakage Tree Data'!AA100,"")</f>
        <v>-1420702.97119141</v>
      </c>
      <c s="72">
        <f>IF('[1]Leakage Tree Data'!AB100&lt;&gt;"",'[1]Leakage Tree Data'!AB100,"")</f>
        <v>265723.990905762</v>
      </c>
      <c s="72">
        <f>IF('[1]Leakage Tree Data'!AC100&lt;&gt;"",'[1]Leakage Tree Data'!AC100,"")</f>
        <v>-1420702.97119141</v>
      </c>
      <c s="72">
        <f>IF('[1]Leakage Tree Data'!AD100&lt;&gt;"",'[1]Leakage Tree Data'!AD100,"")</f>
        <v>-2.54396736768803</v>
      </c>
      <c s="72">
        <f>IF('[1]Leakage Tree Data'!AE100&lt;&gt;"",'[1]Leakage Tree Data'!AE100,"")</f>
      </c>
      <c s="73">
        <f t="shared" si="77"/>
      </c>
      <c s="73">
        <f t="shared" si="78"/>
      </c>
      <c s="73">
        <f t="shared" si="79"/>
      </c>
      <c s="73">
        <f t="shared" si="80"/>
      </c>
      <c s="74">
        <f t="shared" si="81"/>
      </c>
      <c s="74">
        <f t="shared" si="82"/>
      </c>
      <c s="69" t="str">
        <f t="shared" si="55"/>
        <v>Total US - Winco Foods</v>
      </c>
      <c s="69" t="str">
        <f t="shared" si="56"/>
        <v>Total US - GroceryX</v>
      </c>
      <c s="77"/>
    </row>
    <row r="202" spans="1:141" ht="15">
      <c r="A20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3"/>
      </c>
      <c s="75">
        <f t="shared" si="57"/>
      </c>
      <c s="76">
        <f t="shared" si="58"/>
      </c>
      <c s="75">
        <f t="shared" si="59"/>
        <v>4654400.89485168</v>
      </c>
      <c s="76">
        <f t="shared" si="60"/>
        <v>8</v>
      </c>
      <c s="75">
        <f t="shared" si="61"/>
      </c>
      <c s="76">
        <f t="shared" si="62"/>
      </c>
      <c s="75">
        <f t="shared" si="63"/>
      </c>
      <c s="76">
        <f t="shared" si="64"/>
      </c>
      <c s="75">
        <f t="shared" si="84"/>
      </c>
      <c s="76">
        <f t="shared" si="65"/>
      </c>
      <c s="75">
        <f t="shared" si="66"/>
      </c>
      <c s="76">
        <f t="shared" si="67"/>
      </c>
      <c s="75">
        <f t="shared" si="68"/>
        <v>14524008.1811752</v>
      </c>
      <c s="76">
        <f t="shared" si="69"/>
        <v>8</v>
      </c>
      <c s="75">
        <f t="shared" si="70"/>
      </c>
      <c s="76">
        <f t="shared" si="71"/>
      </c>
      <c s="75">
        <f t="shared" si="72"/>
      </c>
      <c s="76">
        <f t="shared" si="73"/>
      </c>
      <c s="75">
        <f t="shared" si="85"/>
      </c>
      <c s="76">
        <f t="shared" si="74"/>
      </c>
      <c s="65" t="str">
        <f t="shared" si="75"/>
        <v>Winn Dixie</v>
      </c>
      <c s="65" t="str">
        <f t="shared" si="76"/>
        <v>GroceryX</v>
      </c>
      <c s="72" t="str">
        <f>IF('[1]Leakage Tree Data'!A101&lt;&gt;"",'[1]Leakage Tree Data'!A101,"")</f>
        <v>Total US - Winn Dixie</v>
      </c>
      <c s="72" t="str">
        <f>IF('[1]Leakage Tree Data'!B101&lt;&gt;"",'[1]Leakage Tree Data'!B101,"")</f>
        <v>Total US - GroceryX</v>
      </c>
      <c s="72">
        <f>IF('[1]Leakage Tree Data'!C101&lt;&gt;"",'[1]Leakage Tree Data'!C101,"")</f>
        <v>121171760.292236</v>
      </c>
      <c s="72">
        <f>IF('[1]Leakage Tree Data'!D101&lt;&gt;"",'[1]Leakage Tree Data'!D101,"")</f>
        <v>7214918.4442749</v>
      </c>
      <c s="72">
        <f>IF('[1]Leakage Tree Data'!E101&lt;&gt;"",'[1]Leakage Tree Data'!E101,"")</f>
        <v>5.95429036177596</v>
      </c>
      <c s="72">
        <f>IF('[1]Leakage Tree Data'!F101&lt;&gt;"",'[1]Leakage Tree Data'!F101,"")</f>
        <v>113956841.847961</v>
      </c>
      <c s="72">
        <f>IF('[1]Leakage Tree Data'!G101&lt;&gt;"",'[1]Leakage Tree Data'!G101,"")</f>
        <v>94.045709638224</v>
      </c>
      <c s="72">
        <f>IF('[1]Leakage Tree Data'!H101&lt;&gt;"",'[1]Leakage Tree Data'!H101,"")</f>
        <v>61518209.9918823</v>
      </c>
      <c s="72" t="str">
        <f>IF('[1]Leakage Tree Data'!I101&lt;&gt;"",'[1]Leakage Tree Data'!I101,"")</f>
        <v>GroceryX</v>
      </c>
      <c s="72">
        <f>IF('[1]Leakage Tree Data'!J101&lt;&gt;"",'[1]Leakage Tree Data'!J101,"")</f>
        <v>98.3356091106081</v>
      </c>
      <c s="72">
        <f>IF('[1]Leakage Tree Data'!K101&lt;&gt;"",'[1]Leakage Tree Data'!K101,"")</f>
        <v>1023903.48242188</v>
      </c>
      <c s="72">
        <f>IF('[1]Leakage Tree Data'!L101&lt;&gt;"",'[1]Leakage Tree Data'!L101,"")</f>
        <v>4654400.89485168</v>
      </c>
      <c s="72">
        <f>IF('[1]Leakage Tree Data'!M101&lt;&gt;"",'[1]Leakage Tree Data'!M101,"")</f>
        <v>14524008.1811752</v>
      </c>
      <c s="72">
        <f>IF('[1]Leakage Tree Data'!N101&lt;&gt;"",'[1]Leakage Tree Data'!N101,"")</f>
        <v>4654400.89485168</v>
      </c>
      <c s="72">
        <f>IF('[1]Leakage Tree Data'!O101&lt;&gt;"",'[1]Leakage Tree Data'!O101,"")</f>
        <v>30.26335465135</v>
      </c>
      <c s="72">
        <f>IF('[1]Leakage Tree Data'!P101&lt;&gt;"",'[1]Leakage Tree Data'!P101,"")</f>
        <v>1338363.79822345</v>
      </c>
      <c s="72">
        <f>IF('[1]Leakage Tree Data'!Q101&lt;&gt;"",'[1]Leakage Tree Data'!Q101,"")</f>
      </c>
      <c s="72">
        <f>IF('[1]Leakage Tree Data'!R101&lt;&gt;"",'[1]Leakage Tree Data'!R101,"")</f>
        <v>1017625.85098267</v>
      </c>
      <c s="72">
        <f>IF('[1]Leakage Tree Data'!S101&lt;&gt;"",'[1]Leakage Tree Data'!S101,"")</f>
        <v>-197922.58001709</v>
      </c>
      <c s="72">
        <f>IF('[1]Leakage Tree Data'!T101&lt;&gt;"",'[1]Leakage Tree Data'!T101,"")</f>
        <v>-0.215152794519514</v>
      </c>
      <c s="72">
        <f>IF('[1]Leakage Tree Data'!U101&lt;&gt;"",'[1]Leakage Tree Data'!U101,"")</f>
        <v>1215548.43099976</v>
      </c>
      <c s="72">
        <f>IF('[1]Leakage Tree Data'!V101&lt;&gt;"",'[1]Leakage Tree Data'!V101,"")</f>
        <v>0.215152794519511</v>
      </c>
      <c s="72">
        <f>IF('[1]Leakage Tree Data'!W101&lt;&gt;"",'[1]Leakage Tree Data'!W101,"")</f>
        <v>-1855949.2237854</v>
      </c>
      <c s="72">
        <f>IF('[1]Leakage Tree Data'!X101&lt;&gt;"",'[1]Leakage Tree Data'!X101,"")</f>
      </c>
      <c s="72">
        <f>IF('[1]Leakage Tree Data'!Y101&lt;&gt;"",'[1]Leakage Tree Data'!Y101,"")</f>
        <v>0.331476475114613</v>
      </c>
      <c s="72">
        <f>IF('[1]Leakage Tree Data'!Z101&lt;&gt;"",'[1]Leakage Tree Data'!Z101,"")</f>
        <v>-240960.678894043</v>
      </c>
      <c s="72">
        <f>IF('[1]Leakage Tree Data'!AA101&lt;&gt;"",'[1]Leakage Tree Data'!AA101,"")</f>
        <v>-1010497.88121033</v>
      </c>
      <c s="72">
        <f>IF('[1]Leakage Tree Data'!AB101&lt;&gt;"",'[1]Leakage Tree Data'!AB101,"")</f>
        <v>-2379983.94773865</v>
      </c>
      <c s="72">
        <f>IF('[1]Leakage Tree Data'!AC101&lt;&gt;"",'[1]Leakage Tree Data'!AC101,"")</f>
        <v>-1010497.88121033</v>
      </c>
      <c s="72">
        <f>IF('[1]Leakage Tree Data'!AD101&lt;&gt;"",'[1]Leakage Tree Data'!AD101,"")</f>
        <v>-3.01497948669871</v>
      </c>
      <c s="72">
        <f>IF('[1]Leakage Tree Data'!AE101&lt;&gt;"",'[1]Leakage Tree Data'!AE101,"")</f>
      </c>
      <c s="73">
        <f t="shared" si="77"/>
      </c>
      <c s="73">
        <f t="shared" si="78"/>
      </c>
      <c s="73">
        <f t="shared" si="79"/>
      </c>
      <c s="73">
        <f t="shared" si="80"/>
      </c>
      <c s="74">
        <f t="shared" si="81"/>
      </c>
      <c s="74">
        <f t="shared" si="82"/>
      </c>
      <c s="69" t="str">
        <f t="shared" si="55"/>
        <v>Total US - Winn Dixie</v>
      </c>
      <c s="69" t="str">
        <f t="shared" si="56"/>
        <v>Total US - GroceryX</v>
      </c>
      <c s="77"/>
    </row>
    <row r="203" spans="1:141" ht="15">
      <c r="A20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3"/>
      </c>
      <c s="75">
        <f t="shared" si="57"/>
      </c>
      <c s="76">
        <f t="shared" si="58"/>
      </c>
      <c s="75">
        <f t="shared" si="59"/>
      </c>
      <c s="76">
        <f t="shared" si="60"/>
      </c>
      <c s="75">
        <f t="shared" si="61"/>
      </c>
      <c s="76">
        <f t="shared" si="62"/>
      </c>
      <c s="75">
        <f t="shared" si="63"/>
      </c>
      <c s="76">
        <f t="shared" si="64"/>
      </c>
      <c s="75">
        <f t="shared" si="84"/>
      </c>
      <c s="76">
        <f t="shared" si="65"/>
      </c>
      <c s="75">
        <f t="shared" si="66"/>
      </c>
      <c s="76">
        <f t="shared" si="67"/>
      </c>
      <c s="75">
        <f t="shared" si="68"/>
        <v>3164340.01428986</v>
      </c>
      <c s="76">
        <f t="shared" si="69"/>
        <v>35</v>
      </c>
      <c s="75">
        <f t="shared" si="70"/>
      </c>
      <c s="76">
        <f t="shared" si="71"/>
      </c>
      <c s="75">
        <f t="shared" si="72"/>
      </c>
      <c s="76">
        <f t="shared" si="73"/>
      </c>
      <c s="75">
        <f t="shared" si="85"/>
      </c>
      <c s="76">
        <f t="shared" si="74"/>
      </c>
      <c s="65" t="str">
        <f t="shared" si="75"/>
        <v>Woodmans Markets</v>
      </c>
      <c s="65" t="str">
        <f t="shared" si="76"/>
        <v>GroceryX</v>
      </c>
      <c s="72" t="str">
        <f>IF('[1]Leakage Tree Data'!A102&lt;&gt;"",'[1]Leakage Tree Data'!A102,"")</f>
        <v>Total US - Woodmans Markets</v>
      </c>
      <c s="72" t="str">
        <f>IF('[1]Leakage Tree Data'!B102&lt;&gt;"",'[1]Leakage Tree Data'!B102,"")</f>
        <v>Total US - GroceryX</v>
      </c>
      <c s="72">
        <f>IF('[1]Leakage Tree Data'!C102&lt;&gt;"",'[1]Leakage Tree Data'!C102,"")</f>
        <v>121171760.292236</v>
      </c>
      <c s="72">
        <f>IF('[1]Leakage Tree Data'!D102&lt;&gt;"",'[1]Leakage Tree Data'!D102,"")</f>
        <v>1026193.93096924</v>
      </c>
      <c s="72">
        <f>IF('[1]Leakage Tree Data'!E102&lt;&gt;"",'[1]Leakage Tree Data'!E102,"")</f>
        <v>0.846891989102339</v>
      </c>
      <c s="72">
        <f>IF('[1]Leakage Tree Data'!F102&lt;&gt;"",'[1]Leakage Tree Data'!F102,"")</f>
        <v>120145566.361267</v>
      </c>
      <c s="72">
        <f>IF('[1]Leakage Tree Data'!G102&lt;&gt;"",'[1]Leakage Tree Data'!G102,"")</f>
        <v>99.1531080108977</v>
      </c>
      <c s="72">
        <f>IF('[1]Leakage Tree Data'!H102&lt;&gt;"",'[1]Leakage Tree Data'!H102,"")</f>
        <v>61518209.9918823</v>
      </c>
      <c s="72" t="str">
        <f>IF('[1]Leakage Tree Data'!I102&lt;&gt;"",'[1]Leakage Tree Data'!I102,"")</f>
        <v>GroceryX</v>
      </c>
      <c s="72">
        <f>IF('[1]Leakage Tree Data'!J102&lt;&gt;"",'[1]Leakage Tree Data'!J102,"")</f>
        <v>99.6508685199048</v>
      </c>
      <c s="72">
        <f>IF('[1]Leakage Tree Data'!K102&lt;&gt;"",'[1]Leakage Tree Data'!K102,"")</f>
        <v>214779.437072754</v>
      </c>
      <c s="72">
        <f>IF('[1]Leakage Tree Data'!L102&lt;&gt;"",'[1]Leakage Tree Data'!L102,"")</f>
      </c>
      <c s="72">
        <f>IF('[1]Leakage Tree Data'!M102&lt;&gt;"",'[1]Leakage Tree Data'!M102,"")</f>
        <v>3164340.01428986</v>
      </c>
      <c s="72">
        <f>IF('[1]Leakage Tree Data'!N102&lt;&gt;"",'[1]Leakage Tree Data'!N102,"")</f>
      </c>
      <c s="72">
        <f>IF('[1]Leakage Tree Data'!O102&lt;&gt;"",'[1]Leakage Tree Data'!O102,"")</f>
        <v>33.3661891723734</v>
      </c>
      <c s="72">
        <f>IF('[1]Leakage Tree Data'!P102&lt;&gt;"",'[1]Leakage Tree Data'!P102,"")</f>
        <v>179055.503094145</v>
      </c>
      <c s="72">
        <f>IF('[1]Leakage Tree Data'!Q102&lt;&gt;"",'[1]Leakage Tree Data'!Q102,"")</f>
      </c>
      <c s="72">
        <f>IF('[1]Leakage Tree Data'!R102&lt;&gt;"",'[1]Leakage Tree Data'!R102,"")</f>
        <v>1017625.85098267</v>
      </c>
      <c s="72">
        <f>IF('[1]Leakage Tree Data'!S102&lt;&gt;"",'[1]Leakage Tree Data'!S102,"")</f>
        <v>-32618.8716125488</v>
      </c>
      <c s="72">
        <f>IF('[1]Leakage Tree Data'!T102&lt;&gt;"",'[1]Leakage Tree Data'!T102,"")</f>
        <v>-0.0343201368935975</v>
      </c>
      <c s="72">
        <f>IF('[1]Leakage Tree Data'!U102&lt;&gt;"",'[1]Leakage Tree Data'!U102,"")</f>
        <v>1050244.72259521</v>
      </c>
      <c s="72">
        <f>IF('[1]Leakage Tree Data'!V102&lt;&gt;"",'[1]Leakage Tree Data'!V102,"")</f>
        <v>0.0343201368935979</v>
      </c>
      <c s="72">
        <f>IF('[1]Leakage Tree Data'!W102&lt;&gt;"",'[1]Leakage Tree Data'!W102,"")</f>
        <v>-1855949.2237854</v>
      </c>
      <c s="72">
        <f>IF('[1]Leakage Tree Data'!X102&lt;&gt;"",'[1]Leakage Tree Data'!X102,"")</f>
      </c>
      <c s="72">
        <f>IF('[1]Leakage Tree Data'!Y102&lt;&gt;"",'[1]Leakage Tree Data'!Y102,"")</f>
        <v>0.0483049001798292</v>
      </c>
      <c s="72">
        <f>IF('[1]Leakage Tree Data'!Z102&lt;&gt;"",'[1]Leakage Tree Data'!Z102,"")</f>
        <v>-37092.52734375</v>
      </c>
      <c s="72">
        <f>IF('[1]Leakage Tree Data'!AA102&lt;&gt;"",'[1]Leakage Tree Data'!AA102,"")</f>
      </c>
      <c s="72">
        <f>IF('[1]Leakage Tree Data'!AB102&lt;&gt;"",'[1]Leakage Tree Data'!AB102,"")</f>
        <v>511853.656715393</v>
      </c>
      <c s="72">
        <f>IF('[1]Leakage Tree Data'!AC102&lt;&gt;"",'[1]Leakage Tree Data'!AC102,"")</f>
      </c>
      <c s="72">
        <f>IF('[1]Leakage Tree Data'!AD102&lt;&gt;"",'[1]Leakage Tree Data'!AD102,"")</f>
        <v>-3.07954051186437</v>
      </c>
      <c s="72">
        <f>IF('[1]Leakage Tree Data'!AE102&lt;&gt;"",'[1]Leakage Tree Data'!AE102,"")</f>
      </c>
      <c s="73">
        <f t="shared" si="77"/>
      </c>
      <c s="73">
        <f t="shared" si="78"/>
      </c>
      <c s="73">
        <f t="shared" si="79"/>
      </c>
      <c s="73">
        <f t="shared" si="80"/>
      </c>
      <c s="74">
        <f t="shared" si="81"/>
      </c>
      <c s="74">
        <f t="shared" si="82"/>
      </c>
      <c s="69" t="str">
        <f t="shared" si="55"/>
        <v>Total US - Woodmans Markets</v>
      </c>
      <c s="69" t="str">
        <f t="shared" si="56"/>
        <v>Total US - GroceryX</v>
      </c>
      <c s="77"/>
    </row>
    <row r="204" spans="1:141" ht="15">
      <c r="A20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3"/>
      </c>
      <c s="75">
        <f t="shared" si="57"/>
        <v>7482799.30241585</v>
      </c>
      <c s="76">
        <f t="shared" si="58"/>
        <v>4</v>
      </c>
      <c s="75">
        <f t="shared" si="59"/>
      </c>
      <c s="76">
        <f t="shared" si="60"/>
      </c>
      <c s="75">
        <f t="shared" si="61"/>
      </c>
      <c s="76">
        <f t="shared" si="62"/>
      </c>
      <c s="75">
        <f t="shared" si="63"/>
      </c>
      <c s="76">
        <f t="shared" si="64"/>
      </c>
      <c s="75">
        <f t="shared" si="84"/>
      </c>
      <c s="76">
        <f t="shared" si="65"/>
      </c>
      <c s="75">
        <f t="shared" si="66"/>
        <v>21616920.5179443</v>
      </c>
      <c s="76">
        <f t="shared" si="67"/>
        <v>4</v>
      </c>
      <c s="75">
        <f t="shared" si="68"/>
      </c>
      <c s="76">
        <f t="shared" si="69"/>
      </c>
      <c s="75">
        <f t="shared" si="70"/>
      </c>
      <c s="76">
        <f t="shared" si="71"/>
      </c>
      <c s="75">
        <f t="shared" si="72"/>
      </c>
      <c s="76">
        <f t="shared" si="73"/>
      </c>
      <c s="75">
        <f t="shared" si="85"/>
      </c>
      <c s="76">
        <f t="shared" si="74"/>
      </c>
      <c s="65" t="str">
        <f t="shared" si="75"/>
        <v>Hardware-Home</v>
      </c>
      <c s="65" t="str">
        <f t="shared" si="76"/>
        <v>Hardware-Home</v>
      </c>
      <c s="72" t="str">
        <f>IF('[1]Leakage Tree Data'!A103&lt;&gt;"",'[1]Leakage Tree Data'!A103,"")</f>
        <v>Total US - Hardware-Home</v>
      </c>
      <c s="72" t="str">
        <f>IF('[1]Leakage Tree Data'!B103&lt;&gt;"",'[1]Leakage Tree Data'!B103,"")</f>
        <v>Total US - Hardware-Home</v>
      </c>
      <c s="72">
        <f>IF('[1]Leakage Tree Data'!C103&lt;&gt;"",'[1]Leakage Tree Data'!C103,"")</f>
        <v>121171760.292236</v>
      </c>
      <c s="72">
        <f>IF('[1]Leakage Tree Data'!D103&lt;&gt;"",'[1]Leakage Tree Data'!D103,"")</f>
        <v>76705402.4938354</v>
      </c>
      <c s="72">
        <f>IF('[1]Leakage Tree Data'!E103&lt;&gt;"",'[1]Leakage Tree Data'!E103,"")</f>
        <v>63.3030355495711</v>
      </c>
      <c s="72">
        <f>IF('[1]Leakage Tree Data'!F103&lt;&gt;"",'[1]Leakage Tree Data'!F103,"")</f>
        <v>44466357.7984009</v>
      </c>
      <c s="72">
        <f>IF('[1]Leakage Tree Data'!G103&lt;&gt;"",'[1]Leakage Tree Data'!G103,"")</f>
        <v>36.6969644504289</v>
      </c>
      <c s="72">
        <f>IF('[1]Leakage Tree Data'!H103&lt;&gt;"",'[1]Leakage Tree Data'!H103,"")</f>
        <v>61518209.9918823</v>
      </c>
      <c s="72" t="str">
        <f>IF('[1]Leakage Tree Data'!I103&lt;&gt;"",'[1]Leakage Tree Data'!I103,"")</f>
        <v>Hardware-Home</v>
      </c>
      <c s="72">
        <f>IF('[1]Leakage Tree Data'!J103&lt;&gt;"",'[1]Leakage Tree Data'!J103,"")</f>
        <v>96.0034784754471</v>
      </c>
      <c s="72">
        <f>IF('[1]Leakage Tree Data'!K103&lt;&gt;"",'[1]Leakage Tree Data'!K103,"")</f>
        <v>2458588.50384521</v>
      </c>
      <c s="72">
        <f>IF('[1]Leakage Tree Data'!L103&lt;&gt;"",'[1]Leakage Tree Data'!L103,"")</f>
        <v>7482799.30241585</v>
      </c>
      <c s="72">
        <f>IF('[1]Leakage Tree Data'!M103&lt;&gt;"",'[1]Leakage Tree Data'!M103,"")</f>
        <v>21616920.5179443</v>
      </c>
      <c s="72">
        <f>IF('[1]Leakage Tree Data'!N103&lt;&gt;"",'[1]Leakage Tree Data'!N103,"")</f>
        <v>7482799.30241585</v>
      </c>
      <c s="72">
        <f>IF('[1]Leakage Tree Data'!O103&lt;&gt;"",'[1]Leakage Tree Data'!O103,"")</f>
        <v>5.47178730151564</v>
      </c>
      <c s="72">
        <f>IF('[1]Leakage Tree Data'!P103&lt;&gt;"",'[1]Leakage Tree Data'!P103,"")</f>
        <v>10114752.9692085</v>
      </c>
      <c s="72">
        <f>IF('[1]Leakage Tree Data'!Q103&lt;&gt;"",'[1]Leakage Tree Data'!Q103,"")</f>
      </c>
      <c s="72">
        <f>IF('[1]Leakage Tree Data'!R103&lt;&gt;"",'[1]Leakage Tree Data'!R103,"")</f>
        <v>1017625.85098267</v>
      </c>
      <c s="72">
        <f>IF('[1]Leakage Tree Data'!S103&lt;&gt;"",'[1]Leakage Tree Data'!S103,"")</f>
        <v>-1359385.17697144</v>
      </c>
      <c s="72">
        <f>IF('[1]Leakage Tree Data'!T103&lt;&gt;"",'[1]Leakage Tree Data'!T103,"")</f>
        <v>-1.66750252956149</v>
      </c>
      <c s="72">
        <f>IF('[1]Leakage Tree Data'!U103&lt;&gt;"",'[1]Leakage Tree Data'!U103,"")</f>
        <v>2377011.0279541</v>
      </c>
      <c s="72">
        <f>IF('[1]Leakage Tree Data'!V103&lt;&gt;"",'[1]Leakage Tree Data'!V103,"")</f>
        <v>1.66750252956149</v>
      </c>
      <c s="72">
        <f>IF('[1]Leakage Tree Data'!W103&lt;&gt;"",'[1]Leakage Tree Data'!W103,"")</f>
        <v>-1855949.2237854</v>
      </c>
      <c s="72">
        <f>IF('[1]Leakage Tree Data'!X103&lt;&gt;"",'[1]Leakage Tree Data'!X103,"")</f>
      </c>
      <c s="72">
        <f>IF('[1]Leakage Tree Data'!Y103&lt;&gt;"",'[1]Leakage Tree Data'!Y103,"")</f>
        <v>0.189952411193374</v>
      </c>
      <c s="72">
        <f>IF('[1]Leakage Tree Data'!Z103&lt;&gt;"",'[1]Leakage Tree Data'!Z103,"")</f>
        <v>-194554.153717041</v>
      </c>
      <c s="72">
        <f>IF('[1]Leakage Tree Data'!AA103&lt;&gt;"",'[1]Leakage Tree Data'!AA103,"")</f>
        <v>-51013.6462898254</v>
      </c>
      <c s="72">
        <f>IF('[1]Leakage Tree Data'!AB103&lt;&gt;"",'[1]Leakage Tree Data'!AB103,"")</f>
        <v>-1145909.36522675</v>
      </c>
      <c s="72">
        <f>IF('[1]Leakage Tree Data'!AC103&lt;&gt;"",'[1]Leakage Tree Data'!AC103,"")</f>
        <v>-51013.6462898254</v>
      </c>
      <c s="72">
        <f>IF('[1]Leakage Tree Data'!AD103&lt;&gt;"",'[1]Leakage Tree Data'!AD103,"")</f>
        <v>-0.268511148142614</v>
      </c>
      <c s="72">
        <f>IF('[1]Leakage Tree Data'!AE103&lt;&gt;"",'[1]Leakage Tree Data'!AE103,"")</f>
      </c>
      <c s="73">
        <f t="shared" si="77"/>
        <v>21616920.5179443</v>
      </c>
      <c s="73">
        <f t="shared" si="78"/>
        <v>7482799.30241585</v>
      </c>
      <c s="73">
        <f t="shared" si="79"/>
        <v>-1145909.36522675</v>
      </c>
      <c s="73">
        <f t="shared" si="80"/>
        <v>-51013.6462898254</v>
      </c>
      <c s="74">
        <f t="shared" si="81"/>
        <v>-5.27565872715848E-05</v>
      </c>
      <c s="74">
        <f t="shared" si="82"/>
        <v>0.00153446477837724</v>
      </c>
      <c s="69" t="str">
        <f t="shared" si="55"/>
        <v>Total US - Hardware-Home</v>
      </c>
      <c s="69" t="str">
        <f t="shared" si="56"/>
        <v>Total US - Hardware-Home</v>
      </c>
      <c s="77"/>
    </row>
    <row r="205" spans="1:141" ht="15">
      <c r="A20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3"/>
      </c>
      <c s="75">
        <f t="shared" si="57"/>
      </c>
      <c s="76">
        <f t="shared" si="58"/>
      </c>
      <c s="75">
        <f t="shared" si="59"/>
      </c>
      <c s="76">
        <f t="shared" si="60"/>
      </c>
      <c s="75">
        <f t="shared" si="61"/>
      </c>
      <c s="76">
        <f t="shared" si="62"/>
      </c>
      <c s="75">
        <f t="shared" si="63"/>
      </c>
      <c s="76">
        <f t="shared" si="64"/>
      </c>
      <c s="75">
        <f t="shared" si="84"/>
      </c>
      <c s="76">
        <f t="shared" si="65"/>
      </c>
      <c s="75">
        <f t="shared" si="66"/>
      </c>
      <c s="76">
        <f t="shared" si="67"/>
      </c>
      <c s="75">
        <f t="shared" si="68"/>
      </c>
      <c s="76">
        <f t="shared" si="69"/>
      </c>
      <c s="75">
        <f t="shared" si="70"/>
      </c>
      <c s="76">
        <f t="shared" si="71"/>
      </c>
      <c s="75">
        <f t="shared" si="72"/>
      </c>
      <c s="76">
        <f t="shared" si="73"/>
      </c>
      <c s="75">
        <f t="shared" si="85"/>
        <v>1029024.7645874</v>
      </c>
      <c s="76">
        <f t="shared" si="74"/>
        <v>20</v>
      </c>
      <c s="65" t="str">
        <f t="shared" si="75"/>
        <v>Ace Hardware</v>
      </c>
      <c s="65" t="str">
        <f t="shared" si="76"/>
        <v>Hardware-Home</v>
      </c>
      <c s="72" t="str">
        <f>IF('[1]Leakage Tree Data'!A104&lt;&gt;"",'[1]Leakage Tree Data'!A104,"")</f>
        <v>Total US - Ace Hardware</v>
      </c>
      <c s="72" t="str">
        <f>IF('[1]Leakage Tree Data'!B104&lt;&gt;"",'[1]Leakage Tree Data'!B104,"")</f>
        <v>Total US - Hardware-Home</v>
      </c>
      <c s="72">
        <f>IF('[1]Leakage Tree Data'!C104&lt;&gt;"",'[1]Leakage Tree Data'!C104,"")</f>
        <v>121171760.292236</v>
      </c>
      <c s="72">
        <f>IF('[1]Leakage Tree Data'!D104&lt;&gt;"",'[1]Leakage Tree Data'!D104,"")</f>
        <v>15396562.1270752</v>
      </c>
      <c s="72">
        <f>IF('[1]Leakage Tree Data'!E104&lt;&gt;"",'[1]Leakage Tree Data'!E104,"")</f>
        <v>12.7063946995096</v>
      </c>
      <c s="72">
        <f>IF('[1]Leakage Tree Data'!F104&lt;&gt;"",'[1]Leakage Tree Data'!F104,"")</f>
        <v>105775198.165161</v>
      </c>
      <c s="72">
        <f>IF('[1]Leakage Tree Data'!G104&lt;&gt;"",'[1]Leakage Tree Data'!G104,"")</f>
        <v>87.2936053004904</v>
      </c>
      <c s="72">
        <f>IF('[1]Leakage Tree Data'!H104&lt;&gt;"",'[1]Leakage Tree Data'!H104,"")</f>
        <v>61518209.9918823</v>
      </c>
      <c s="72" t="str">
        <f>IF('[1]Leakage Tree Data'!I104&lt;&gt;"",'[1]Leakage Tree Data'!I104,"")</f>
        <v>Hardware-Home</v>
      </c>
      <c s="72">
        <f>IF('[1]Leakage Tree Data'!J104&lt;&gt;"",'[1]Leakage Tree Data'!J104,"")</f>
        <v>99.5873236846311</v>
      </c>
      <c s="72">
        <f>IF('[1]Leakage Tree Data'!K104&lt;&gt;"",'[1]Leakage Tree Data'!K104,"")</f>
        <v>253871.082275391</v>
      </c>
      <c s="72">
        <f>IF('[1]Leakage Tree Data'!L104&lt;&gt;"",'[1]Leakage Tree Data'!L104,"")</f>
      </c>
      <c s="72">
        <f>IF('[1]Leakage Tree Data'!M104&lt;&gt;"",'[1]Leakage Tree Data'!M104,"")</f>
        <v>1029024.7645874</v>
      </c>
      <c s="72">
        <f>IF('[1]Leakage Tree Data'!N104&lt;&gt;"",'[1]Leakage Tree Data'!N104,"")</f>
      </c>
      <c s="72">
        <f>IF('[1]Leakage Tree Data'!O104&lt;&gt;"",'[1]Leakage Tree Data'!O104,"")</f>
        <v>3.08385387761947</v>
      </c>
      <c s="72">
        <f>IF('[1]Leakage Tree Data'!P104&lt;&gt;"",'[1]Leakage Tree Data'!P104,"")</f>
        <v>855854.507781474</v>
      </c>
      <c s="72">
        <f>IF('[1]Leakage Tree Data'!Q104&lt;&gt;"",'[1]Leakage Tree Data'!Q104,"")</f>
      </c>
      <c s="72">
        <f>IF('[1]Leakage Tree Data'!R104&lt;&gt;"",'[1]Leakage Tree Data'!R104,"")</f>
        <v>1017625.85098267</v>
      </c>
      <c s="72">
        <f>IF('[1]Leakage Tree Data'!S104&lt;&gt;"",'[1]Leakage Tree Data'!S104,"")</f>
        <v>-297950.418487549</v>
      </c>
      <c s="72">
        <f>IF('[1]Leakage Tree Data'!T104&lt;&gt;"",'[1]Leakage Tree Data'!T104,"")</f>
        <v>-0.355588243104982</v>
      </c>
      <c s="72">
        <f>IF('[1]Leakage Tree Data'!U104&lt;&gt;"",'[1]Leakage Tree Data'!U104,"")</f>
        <v>1315576.26947021</v>
      </c>
      <c s="72">
        <f>IF('[1]Leakage Tree Data'!V104&lt;&gt;"",'[1]Leakage Tree Data'!V104,"")</f>
        <v>0.355588243104975</v>
      </c>
      <c s="72">
        <f>IF('[1]Leakage Tree Data'!W104&lt;&gt;"",'[1]Leakage Tree Data'!W104,"")</f>
        <v>-1855949.2237854</v>
      </c>
      <c s="72">
        <f>IF('[1]Leakage Tree Data'!X104&lt;&gt;"",'[1]Leakage Tree Data'!X104,"")</f>
      </c>
      <c s="72">
        <f>IF('[1]Leakage Tree Data'!Y104&lt;&gt;"",'[1]Leakage Tree Data'!Y104,"")</f>
        <v>0.100485521565361</v>
      </c>
      <c s="72">
        <f>IF('[1]Leakage Tree Data'!Z104&lt;&gt;"",'[1]Leakage Tree Data'!Z104,"")</f>
        <v>-71340.9172973633</v>
      </c>
      <c s="72">
        <f>IF('[1]Leakage Tree Data'!AA104&lt;&gt;"",'[1]Leakage Tree Data'!AA104,"")</f>
      </c>
      <c s="72">
        <f>IF('[1]Leakage Tree Data'!AB104&lt;&gt;"",'[1]Leakage Tree Data'!AB104,"")</f>
        <v>-571931.521583557</v>
      </c>
      <c s="72">
        <f>IF('[1]Leakage Tree Data'!AC104&lt;&gt;"",'[1]Leakage Tree Data'!AC104,"")</f>
      </c>
      <c s="72">
        <f>IF('[1]Leakage Tree Data'!AD104&lt;&gt;"",'[1]Leakage Tree Data'!AD104,"")</f>
        <v>-0.614259892658619</v>
      </c>
      <c s="72">
        <f>IF('[1]Leakage Tree Data'!AE104&lt;&gt;"",'[1]Leakage Tree Data'!AE104,"")</f>
      </c>
      <c s="73">
        <f t="shared" si="77"/>
      </c>
      <c s="73">
        <f t="shared" si="78"/>
      </c>
      <c s="73">
        <f t="shared" si="79"/>
      </c>
      <c s="73">
        <f t="shared" si="80"/>
      </c>
      <c s="74">
        <f t="shared" si="81"/>
      </c>
      <c s="74">
        <f t="shared" si="82"/>
      </c>
      <c s="69" t="str">
        <f t="shared" si="55"/>
        <v>Total US - Ace Hardware</v>
      </c>
      <c s="69" t="str">
        <f t="shared" si="56"/>
        <v>Total US - Hardware-Home</v>
      </c>
      <c s="77"/>
    </row>
    <row r="206" spans="1:141" ht="15">
      <c r="A20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3"/>
      </c>
      <c s="75">
        <f t="shared" si="57"/>
      </c>
      <c s="76">
        <f t="shared" si="58"/>
      </c>
      <c s="75">
        <f t="shared" si="59"/>
      </c>
      <c s="76">
        <f t="shared" si="60"/>
      </c>
      <c s="75">
        <f t="shared" si="61"/>
      </c>
      <c s="76">
        <f t="shared" si="62"/>
      </c>
      <c s="75">
        <f t="shared" si="63"/>
      </c>
      <c s="76">
        <f t="shared" si="64"/>
      </c>
      <c s="75">
        <f t="shared" si="84"/>
        <v>1979261.69593811</v>
      </c>
      <c s="76">
        <f t="shared" si="65"/>
        <v>12</v>
      </c>
      <c s="75">
        <f t="shared" si="66"/>
      </c>
      <c s="76">
        <f t="shared" si="67"/>
      </c>
      <c s="75">
        <f t="shared" si="68"/>
      </c>
      <c s="76">
        <f t="shared" si="69"/>
      </c>
      <c s="75">
        <f t="shared" si="70"/>
      </c>
      <c s="76">
        <f t="shared" si="71"/>
      </c>
      <c s="75">
        <f t="shared" si="72"/>
      </c>
      <c s="76">
        <f t="shared" si="73"/>
      </c>
      <c s="75">
        <f t="shared" si="85"/>
        <v>5663633.81907463</v>
      </c>
      <c s="76">
        <f t="shared" si="74"/>
        <v>12</v>
      </c>
      <c s="65" t="str">
        <f t="shared" si="75"/>
        <v>Home Depot</v>
      </c>
      <c s="65" t="str">
        <f t="shared" si="76"/>
        <v>Hardware-Home</v>
      </c>
      <c s="72" t="str">
        <f>IF('[1]Leakage Tree Data'!A105&lt;&gt;"",'[1]Leakage Tree Data'!A105,"")</f>
        <v>Total US - Home Depot</v>
      </c>
      <c s="72" t="str">
        <f>IF('[1]Leakage Tree Data'!B105&lt;&gt;"",'[1]Leakage Tree Data'!B105,"")</f>
        <v>Total US - Hardware-Home</v>
      </c>
      <c s="72">
        <f>IF('[1]Leakage Tree Data'!C105&lt;&gt;"",'[1]Leakage Tree Data'!C105,"")</f>
        <v>121171760.292236</v>
      </c>
      <c s="72">
        <f>IF('[1]Leakage Tree Data'!D105&lt;&gt;"",'[1]Leakage Tree Data'!D105,"")</f>
        <v>45576593.6126099</v>
      </c>
      <c s="72">
        <f>IF('[1]Leakage Tree Data'!E105&lt;&gt;"",'[1]Leakage Tree Data'!E105,"")</f>
        <v>37.6132140877465</v>
      </c>
      <c s="72">
        <f>IF('[1]Leakage Tree Data'!F105&lt;&gt;"",'[1]Leakage Tree Data'!F105,"")</f>
        <v>75595166.6796265</v>
      </c>
      <c s="72">
        <f>IF('[1]Leakage Tree Data'!G105&lt;&gt;"",'[1]Leakage Tree Data'!G105,"")</f>
        <v>62.3867859122535</v>
      </c>
      <c s="72">
        <f>IF('[1]Leakage Tree Data'!H105&lt;&gt;"",'[1]Leakage Tree Data'!H105,"")</f>
        <v>61518209.9918823</v>
      </c>
      <c s="72" t="str">
        <f>IF('[1]Leakage Tree Data'!I105&lt;&gt;"",'[1]Leakage Tree Data'!I105,"")</f>
        <v>Hardware-Home</v>
      </c>
      <c s="72">
        <f>IF('[1]Leakage Tree Data'!J105&lt;&gt;"",'[1]Leakage Tree Data'!J105,"")</f>
        <v>98.807977291809</v>
      </c>
      <c s="72">
        <f>IF('[1]Leakage Tree Data'!K105&lt;&gt;"",'[1]Leakage Tree Data'!K105,"")</f>
        <v>733311.032775879</v>
      </c>
      <c s="72">
        <f>IF('[1]Leakage Tree Data'!L105&lt;&gt;"",'[1]Leakage Tree Data'!L105,"")</f>
        <v>1979261.69593811</v>
      </c>
      <c s="72">
        <f>IF('[1]Leakage Tree Data'!M105&lt;&gt;"",'[1]Leakage Tree Data'!M105,"")</f>
        <v>5663633.81907463</v>
      </c>
      <c s="72">
        <f>IF('[1]Leakage Tree Data'!N105&lt;&gt;"",'[1]Leakage Tree Data'!N105,"")</f>
        <v>1979261.69593811</v>
      </c>
      <c s="72">
        <f>IF('[1]Leakage Tree Data'!O105&lt;&gt;"",'[1]Leakage Tree Data'!O105,"")</f>
        <v>2.55110578920747</v>
      </c>
      <c s="72">
        <f>IF('[1]Leakage Tree Data'!P105&lt;&gt;"",'[1]Leakage Tree Data'!P105,"")</f>
        <v>6549883.8264454</v>
      </c>
      <c s="72">
        <f>IF('[1]Leakage Tree Data'!Q105&lt;&gt;"",'[1]Leakage Tree Data'!Q105,"")</f>
      </c>
      <c s="72">
        <f>IF('[1]Leakage Tree Data'!R105&lt;&gt;"",'[1]Leakage Tree Data'!R105,"")</f>
        <v>1017625.85098267</v>
      </c>
      <c s="72">
        <f>IF('[1]Leakage Tree Data'!S105&lt;&gt;"",'[1]Leakage Tree Data'!S105,"")</f>
        <v>-274538.203643799</v>
      </c>
      <c s="72">
        <f>IF('[1]Leakage Tree Data'!T105&lt;&gt;"",'[1]Leakage Tree Data'!T105,"")</f>
        <v>-0.547047337690685</v>
      </c>
      <c s="72">
        <f>IF('[1]Leakage Tree Data'!U105&lt;&gt;"",'[1]Leakage Tree Data'!U105,"")</f>
        <v>1292164.05462646</v>
      </c>
      <c s="72">
        <f>IF('[1]Leakage Tree Data'!V105&lt;&gt;"",'[1]Leakage Tree Data'!V105,"")</f>
        <v>0.547047337690685</v>
      </c>
      <c s="72">
        <f>IF('[1]Leakage Tree Data'!W105&lt;&gt;"",'[1]Leakage Tree Data'!W105,"")</f>
        <v>-1855949.2237854</v>
      </c>
      <c s="72">
        <f>IF('[1]Leakage Tree Data'!X105&lt;&gt;"",'[1]Leakage Tree Data'!X105,"")</f>
      </c>
      <c s="72">
        <f>IF('[1]Leakage Tree Data'!Y105&lt;&gt;"",'[1]Leakage Tree Data'!Y105,"")</f>
        <v>-0.343755049326063</v>
      </c>
      <c s="72">
        <f>IF('[1]Leakage Tree Data'!Z105&lt;&gt;"",'[1]Leakage Tree Data'!Z105,"")</f>
        <v>195728.536071777</v>
      </c>
      <c s="72">
        <f>IF('[1]Leakage Tree Data'!AA105&lt;&gt;"",'[1]Leakage Tree Data'!AA105,"")</f>
        <v>123262.731887817</v>
      </c>
      <c s="72">
        <f>IF('[1]Leakage Tree Data'!AB105&lt;&gt;"",'[1]Leakage Tree Data'!AB105,"")</f>
        <v>1956555.66691399</v>
      </c>
      <c s="72">
        <f>IF('[1]Leakage Tree Data'!AC105&lt;&gt;"",'[1]Leakage Tree Data'!AC105,"")</f>
        <v>123262.731887817</v>
      </c>
      <c s="72">
        <f>IF('[1]Leakage Tree Data'!AD105&lt;&gt;"",'[1]Leakage Tree Data'!AD105,"")</f>
        <v>0.539993539009</v>
      </c>
      <c s="72">
        <f>IF('[1]Leakage Tree Data'!AE105&lt;&gt;"",'[1]Leakage Tree Data'!AE105,"")</f>
      </c>
      <c s="73">
        <f t="shared" si="77"/>
      </c>
      <c s="73">
        <f t="shared" si="78"/>
      </c>
      <c s="73">
        <f t="shared" si="79"/>
      </c>
      <c s="73">
        <f t="shared" si="80"/>
      </c>
      <c s="74">
        <f t="shared" si="81"/>
      </c>
      <c s="74">
        <f t="shared" si="82"/>
      </c>
      <c s="69" t="str">
        <f t="shared" si="55"/>
        <v>Total US - Home Depot</v>
      </c>
      <c s="69" t="str">
        <f t="shared" si="56"/>
        <v>Total US - Hardware-Home</v>
      </c>
      <c s="77"/>
    </row>
    <row r="207" spans="1:141" ht="15">
      <c r="A20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3"/>
      </c>
      <c s="75">
        <f t="shared" si="57"/>
      </c>
      <c s="76">
        <f t="shared" si="58"/>
      </c>
      <c s="75">
        <f t="shared" si="59"/>
      </c>
      <c s="76">
        <f t="shared" si="60"/>
      </c>
      <c s="75">
        <f t="shared" si="61"/>
      </c>
      <c s="76">
        <f t="shared" si="62"/>
      </c>
      <c s="75">
        <f t="shared" si="63"/>
      </c>
      <c s="76">
        <f t="shared" si="64"/>
      </c>
      <c s="75">
        <f t="shared" si="84"/>
        <v>1673503.15367126</v>
      </c>
      <c s="76">
        <f t="shared" si="65"/>
        <v>13</v>
      </c>
      <c s="75">
        <f t="shared" si="66"/>
      </c>
      <c s="76">
        <f t="shared" si="67"/>
      </c>
      <c s="75">
        <f t="shared" si="68"/>
      </c>
      <c s="76">
        <f t="shared" si="69"/>
      </c>
      <c s="75">
        <f t="shared" si="70"/>
      </c>
      <c s="76">
        <f t="shared" si="71"/>
      </c>
      <c s="75">
        <f t="shared" si="72"/>
      </c>
      <c s="76">
        <f t="shared" si="73"/>
      </c>
      <c s="75">
        <f t="shared" si="85"/>
        <v>2542336.95934296</v>
      </c>
      <c s="76">
        <f t="shared" si="74"/>
        <v>15</v>
      </c>
      <c s="65" t="str">
        <f t="shared" si="75"/>
        <v>Lowes Home Improvement</v>
      </c>
      <c s="65" t="str">
        <f t="shared" si="76"/>
        <v>Hardware-Home</v>
      </c>
      <c s="72" t="str">
        <f>IF('[1]Leakage Tree Data'!A106&lt;&gt;"",'[1]Leakage Tree Data'!A106,"")</f>
        <v>Total US - Lowes Home Improvement</v>
      </c>
      <c s="72" t="str">
        <f>IF('[1]Leakage Tree Data'!B106&lt;&gt;"",'[1]Leakage Tree Data'!B106,"")</f>
        <v>Total US - Hardware-Home</v>
      </c>
      <c s="72">
        <f>IF('[1]Leakage Tree Data'!C106&lt;&gt;"",'[1]Leakage Tree Data'!C106,"")</f>
        <v>121171760.292236</v>
      </c>
      <c s="72">
        <f>IF('[1]Leakage Tree Data'!D106&lt;&gt;"",'[1]Leakage Tree Data'!D106,"")</f>
        <v>38686383.9416199</v>
      </c>
      <c s="72">
        <f>IF('[1]Leakage Tree Data'!E106&lt;&gt;"",'[1]Leakage Tree Data'!E106,"")</f>
        <v>31.9268976932562</v>
      </c>
      <c s="72">
        <f>IF('[1]Leakage Tree Data'!F106&lt;&gt;"",'[1]Leakage Tree Data'!F106,"")</f>
        <v>82485376.3506165</v>
      </c>
      <c s="72">
        <f>IF('[1]Leakage Tree Data'!G106&lt;&gt;"",'[1]Leakage Tree Data'!G106,"")</f>
        <v>68.0731023067438</v>
      </c>
      <c s="72">
        <f>IF('[1]Leakage Tree Data'!H106&lt;&gt;"",'[1]Leakage Tree Data'!H106,"")</f>
        <v>61518209.9918823</v>
      </c>
      <c s="72" t="str">
        <f>IF('[1]Leakage Tree Data'!I106&lt;&gt;"",'[1]Leakage Tree Data'!I106,"")</f>
        <v>Hardware-Home</v>
      </c>
      <c s="72">
        <f>IF('[1]Leakage Tree Data'!J106&lt;&gt;"",'[1]Leakage Tree Data'!J106,"")</f>
        <v>99.327897988837</v>
      </c>
      <c s="72">
        <f>IF('[1]Leakage Tree Data'!K106&lt;&gt;"",'[1]Leakage Tree Data'!K106,"")</f>
        <v>413465.126586914</v>
      </c>
      <c s="72">
        <f>IF('[1]Leakage Tree Data'!L106&lt;&gt;"",'[1]Leakage Tree Data'!L106,"")</f>
        <v>1673503.15367126</v>
      </c>
      <c s="72">
        <f>IF('[1]Leakage Tree Data'!M106&lt;&gt;"",'[1]Leakage Tree Data'!M106,"")</f>
        <v>2542336.95934296</v>
      </c>
      <c s="72">
        <f>IF('[1]Leakage Tree Data'!N106&lt;&gt;"",'[1]Leakage Tree Data'!N106,"")</f>
        <v>1673503.15367126</v>
      </c>
      <c s="72">
        <f>IF('[1]Leakage Tree Data'!O106&lt;&gt;"",'[1]Leakage Tree Data'!O106,"")</f>
        <v>1.82889238990917</v>
      </c>
      <c s="72">
        <f>IF('[1]Leakage Tree Data'!P106&lt;&gt;"",'[1]Leakage Tree Data'!P106,"")</f>
        <v>5126760.74157755</v>
      </c>
      <c s="72">
        <f>IF('[1]Leakage Tree Data'!Q106&lt;&gt;"",'[1]Leakage Tree Data'!Q106,"")</f>
      </c>
      <c s="72">
        <f>IF('[1]Leakage Tree Data'!R106&lt;&gt;"",'[1]Leakage Tree Data'!R106,"")</f>
        <v>1017625.85098267</v>
      </c>
      <c s="72">
        <f>IF('[1]Leakage Tree Data'!S106&lt;&gt;"",'[1]Leakage Tree Data'!S106,"")</f>
        <v>-1003041.82611084</v>
      </c>
      <c s="72">
        <f>IF('[1]Leakage Tree Data'!T106&lt;&gt;"",'[1]Leakage Tree Data'!T106,"")</f>
        <v>-1.10519558617724</v>
      </c>
      <c s="72">
        <f>IF('[1]Leakage Tree Data'!U106&lt;&gt;"",'[1]Leakage Tree Data'!U106,"")</f>
        <v>2020667.67709351</v>
      </c>
      <c s="72">
        <f>IF('[1]Leakage Tree Data'!V106&lt;&gt;"",'[1]Leakage Tree Data'!V106,"")</f>
        <v>1.10519558617723</v>
      </c>
      <c s="72">
        <f>IF('[1]Leakage Tree Data'!W106&lt;&gt;"",'[1]Leakage Tree Data'!W106,"")</f>
        <v>-1855949.2237854</v>
      </c>
      <c s="72">
        <f>IF('[1]Leakage Tree Data'!X106&lt;&gt;"",'[1]Leakage Tree Data'!X106,"")</f>
      </c>
      <c s="72">
        <f>IF('[1]Leakage Tree Data'!Y106&lt;&gt;"",'[1]Leakage Tree Data'!Y106,"")</f>
        <v>0.0408981564802389</v>
      </c>
      <c s="72">
        <f>IF('[1]Leakage Tree Data'!Z106&lt;&gt;"",'[1]Leakage Tree Data'!Z106,"")</f>
        <v>-38392.7348632813</v>
      </c>
      <c s="72">
        <f>IF('[1]Leakage Tree Data'!AA106&lt;&gt;"",'[1]Leakage Tree Data'!AA106,"")</f>
        <v>1038466.97286987</v>
      </c>
      <c s="72">
        <f>IF('[1]Leakage Tree Data'!AB106&lt;&gt;"",'[1]Leakage Tree Data'!AB106,"")</f>
        <v>40973.646812439</v>
      </c>
      <c s="72">
        <f>IF('[1]Leakage Tree Data'!AC106&lt;&gt;"",'[1]Leakage Tree Data'!AC106,"")</f>
        <v>1038466.97286987</v>
      </c>
      <c s="72">
        <f>IF('[1]Leakage Tree Data'!AD106&lt;&gt;"",'[1]Leakage Tree Data'!AD106,"")</f>
        <v>-0.147941057330619</v>
      </c>
      <c s="72">
        <f>IF('[1]Leakage Tree Data'!AE106&lt;&gt;"",'[1]Leakage Tree Data'!AE106,"")</f>
      </c>
      <c s="73">
        <f t="shared" si="77"/>
      </c>
      <c s="73">
        <f t="shared" si="78"/>
      </c>
      <c s="73">
        <f t="shared" si="79"/>
      </c>
      <c s="73">
        <f t="shared" si="80"/>
      </c>
      <c s="74">
        <f t="shared" si="81"/>
      </c>
      <c s="74">
        <f t="shared" si="82"/>
      </c>
      <c s="69" t="str">
        <f t="shared" si="55"/>
        <v>Total US - Lowes Home Improvement</v>
      </c>
      <c s="69" t="str">
        <f t="shared" si="56"/>
        <v>Total US - Hardware-Home</v>
      </c>
      <c s="77"/>
    </row>
    <row r="208" spans="1:141" ht="15">
      <c r="A20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3"/>
      </c>
      <c s="75">
        <f t="shared" si="57"/>
      </c>
      <c s="76">
        <f t="shared" si="58"/>
      </c>
      <c s="75">
        <f t="shared" si="59"/>
      </c>
      <c s="76">
        <f t="shared" si="60"/>
      </c>
      <c s="75">
        <f t="shared" si="61"/>
      </c>
      <c s="76">
        <f t="shared" si="62"/>
      </c>
      <c s="75">
        <f t="shared" si="63"/>
      </c>
      <c s="76">
        <f t="shared" si="64"/>
      </c>
      <c s="75">
        <f t="shared" si="84"/>
        <v>3323974.32773209</v>
      </c>
      <c s="76">
        <f t="shared" si="65"/>
        <v>9</v>
      </c>
      <c s="75">
        <f t="shared" si="66"/>
      </c>
      <c s="76">
        <f t="shared" si="67"/>
      </c>
      <c s="75">
        <f t="shared" si="68"/>
      </c>
      <c s="76">
        <f t="shared" si="69"/>
      </c>
      <c s="75">
        <f t="shared" si="70"/>
      </c>
      <c s="76">
        <f t="shared" si="71"/>
      </c>
      <c s="75">
        <f t="shared" si="72"/>
      </c>
      <c s="76">
        <f t="shared" si="73"/>
      </c>
      <c s="75">
        <f t="shared" si="85"/>
        <v>10972512.4333439</v>
      </c>
      <c s="76">
        <f t="shared" si="74"/>
        <v>10</v>
      </c>
      <c s="65" t="str">
        <f t="shared" si="75"/>
        <v>Menards</v>
      </c>
      <c s="65" t="str">
        <f t="shared" si="76"/>
        <v>Hardware-Home</v>
      </c>
      <c s="72" t="str">
        <f>IF('[1]Leakage Tree Data'!A107&lt;&gt;"",'[1]Leakage Tree Data'!A107,"")</f>
        <v>Total US - Menards</v>
      </c>
      <c s="72" t="str">
        <f>IF('[1]Leakage Tree Data'!B107&lt;&gt;"",'[1]Leakage Tree Data'!B107,"")</f>
        <v>Total US - Hardware-Home</v>
      </c>
      <c s="72">
        <f>IF('[1]Leakage Tree Data'!C107&lt;&gt;"",'[1]Leakage Tree Data'!C107,"")</f>
        <v>121171760.292236</v>
      </c>
      <c s="72">
        <f>IF('[1]Leakage Tree Data'!D107&lt;&gt;"",'[1]Leakage Tree Data'!D107,"")</f>
        <v>10346575.0297852</v>
      </c>
      <c s="72">
        <f>IF('[1]Leakage Tree Data'!E107&lt;&gt;"",'[1]Leakage Tree Data'!E107,"")</f>
        <v>8.5387676178276</v>
      </c>
      <c s="72">
        <f>IF('[1]Leakage Tree Data'!F107&lt;&gt;"",'[1]Leakage Tree Data'!F107,"")</f>
        <v>110825185.262451</v>
      </c>
      <c s="72">
        <f>IF('[1]Leakage Tree Data'!G107&lt;&gt;"",'[1]Leakage Tree Data'!G107,"")</f>
        <v>91.4612323821724</v>
      </c>
      <c s="72">
        <f>IF('[1]Leakage Tree Data'!H107&lt;&gt;"",'[1]Leakage Tree Data'!H107,"")</f>
        <v>61518209.9918823</v>
      </c>
      <c s="72" t="str">
        <f>IF('[1]Leakage Tree Data'!I107&lt;&gt;"",'[1]Leakage Tree Data'!I107,"")</f>
        <v>Hardware-Home</v>
      </c>
      <c s="72">
        <f>IF('[1]Leakage Tree Data'!J107&lt;&gt;"",'[1]Leakage Tree Data'!J107,"")</f>
        <v>98.3574138699563</v>
      </c>
      <c s="72">
        <f>IF('[1]Leakage Tree Data'!K107&lt;&gt;"",'[1]Leakage Tree Data'!K107,"")</f>
        <v>1010489.58477783</v>
      </c>
      <c s="72">
        <f>IF('[1]Leakage Tree Data'!L107&lt;&gt;"",'[1]Leakage Tree Data'!L107,"")</f>
        <v>3323974.32773209</v>
      </c>
      <c s="72">
        <f>IF('[1]Leakage Tree Data'!M107&lt;&gt;"",'[1]Leakage Tree Data'!M107,"")</f>
        <v>10972512.4333439</v>
      </c>
      <c s="72">
        <f>IF('[1]Leakage Tree Data'!N107&lt;&gt;"",'[1]Leakage Tree Data'!N107,"")</f>
        <v>3323974.32773209</v>
      </c>
      <c s="72">
        <f>IF('[1]Leakage Tree Data'!O107&lt;&gt;"",'[1]Leakage Tree Data'!O107,"")</f>
        <v>16.7393575730898</v>
      </c>
      <c s="72">
        <f>IF('[1]Leakage Tree Data'!P107&lt;&gt;"",'[1]Leakage Tree Data'!P107,"")</f>
        <v>1483791.98263704</v>
      </c>
      <c s="72">
        <f>IF('[1]Leakage Tree Data'!Q107&lt;&gt;"",'[1]Leakage Tree Data'!Q107,"")</f>
      </c>
      <c s="72">
        <f>IF('[1]Leakage Tree Data'!R107&lt;&gt;"",'[1]Leakage Tree Data'!R107,"")</f>
        <v>1017625.85098267</v>
      </c>
      <c s="72">
        <f>IF('[1]Leakage Tree Data'!S107&lt;&gt;"",'[1]Leakage Tree Data'!S107,"")</f>
        <v>-116572.446899414</v>
      </c>
      <c s="72">
        <f>IF('[1]Leakage Tree Data'!T107&lt;&gt;"",'[1]Leakage Tree Data'!T107,"")</f>
        <v>-0.169336789349719</v>
      </c>
      <c s="72">
        <f>IF('[1]Leakage Tree Data'!U107&lt;&gt;"",'[1]Leakage Tree Data'!U107,"")</f>
        <v>1134198.29788208</v>
      </c>
      <c s="72">
        <f>IF('[1]Leakage Tree Data'!V107&lt;&gt;"",'[1]Leakage Tree Data'!V107,"")</f>
        <v>0.169336789349714</v>
      </c>
      <c s="72">
        <f>IF('[1]Leakage Tree Data'!W107&lt;&gt;"",'[1]Leakage Tree Data'!W107,"")</f>
        <v>-1855949.2237854</v>
      </c>
      <c s="72">
        <f>IF('[1]Leakage Tree Data'!X107&lt;&gt;"",'[1]Leakage Tree Data'!X107,"")</f>
      </c>
      <c s="72">
        <f>IF('[1]Leakage Tree Data'!Y107&lt;&gt;"",'[1]Leakage Tree Data'!Y107,"")</f>
        <v>0.304778601698771</v>
      </c>
      <c s="72">
        <f>IF('[1]Leakage Tree Data'!Z107&lt;&gt;"",'[1]Leakage Tree Data'!Z107,"")</f>
        <v>-223636.440826416</v>
      </c>
      <c s="72">
        <f>IF('[1]Leakage Tree Data'!AA107&lt;&gt;"",'[1]Leakage Tree Data'!AA107,"")</f>
        <v>-1198640.32957459</v>
      </c>
      <c s="72">
        <f>IF('[1]Leakage Tree Data'!AB107&lt;&gt;"",'[1]Leakage Tree Data'!AB107,"")</f>
        <v>-2623297.22567177</v>
      </c>
      <c s="72">
        <f>IF('[1]Leakage Tree Data'!AC107&lt;&gt;"",'[1]Leakage Tree Data'!AC107,"")</f>
        <v>-1198640.32957459</v>
      </c>
      <c s="72">
        <f>IF('[1]Leakage Tree Data'!AD107&lt;&gt;"",'[1]Leakage Tree Data'!AD107,"")</f>
        <v>-2.73317496499903</v>
      </c>
      <c s="72">
        <f>IF('[1]Leakage Tree Data'!AE107&lt;&gt;"",'[1]Leakage Tree Data'!AE107,"")</f>
      </c>
      <c s="73">
        <f t="shared" si="77"/>
      </c>
      <c s="73">
        <f t="shared" si="78"/>
      </c>
      <c s="73">
        <f t="shared" si="79"/>
      </c>
      <c s="73">
        <f t="shared" si="80"/>
      </c>
      <c s="74">
        <f t="shared" si="81"/>
      </c>
      <c s="74">
        <f t="shared" si="82"/>
      </c>
      <c s="69" t="str">
        <f t="shared" si="55"/>
        <v>Total US - Menards</v>
      </c>
      <c s="69" t="str">
        <f t="shared" si="56"/>
        <v>Total US - Hardware-Home</v>
      </c>
      <c s="77"/>
    </row>
    <row r="209" spans="1:141" ht="15">
      <c r="A20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3"/>
      </c>
      <c s="75">
        <f t="shared" ref="CB209:CB240" si="86">IF(ISERROR(VLOOKUP(CV209,$AL$8:$AL$14,1,FALSE))=TRUE,IF(AND(CV209=CW209,CV209&lt;&gt;"",DI$111&lt;&gt;"",DK209&lt;&gt;""),IF(CW$101="Y",DK209-IF(ISERROR(VLOOKUP(CV209,$CA$113:$DK$300,37,FALSE))=TRUE,0,IF(VLOOKUP(CV209,$CA$113:$DK$300,37,FALSE)="",0,VLOOKUP(CV209,$CA$113:$DK$300,37,FALSE))),DK209-IF(AND(CW$102="Y",CV209=$CW$111),DI$111,0)),""),"")</f>
      </c>
      <c s="76">
        <f t="shared" ref="CC209:CC240" si="87">IF(ISERROR(VLOOKUP(CV209,$AL$8:$AL$14,1,FALSE))=TRUE,IF(CB209&lt;&gt;"",IF(CB209&gt;0,IF(Z$4&lt;&gt;"",MIN(4,RANK(CB209,$CB$111:$CB$300)),RANK(CB209,$CB$111:$CB$300)),""),""),"")</f>
      </c>
      <c s="75">
        <f t="shared" si="59"/>
      </c>
      <c s="76">
        <f t="shared" ref="CE209:CE240" si="88">IF(ISERROR(VLOOKUP(CV209,$AL$8:$AL$14,1,FALSE))=TRUE,IF(CD209&lt;&gt;"",IF(CD209&gt;0,RANK(CD209,$CD$111:$CD$300),""),""),"")</f>
      </c>
      <c s="75">
        <f t="shared" si="61"/>
      </c>
      <c s="76">
        <f t="shared" ref="CG209:CG240" si="89">IF(ISERROR(VLOOKUP(CV209,$AL$8:$AL$14,1,FALSE))=TRUE,IF(CF209&lt;&gt;"",IF(CF209&gt;0,RANK(CF209,$CF$111:$CF$300),""),""),"")</f>
      </c>
      <c s="75">
        <f t="shared" si="63"/>
      </c>
      <c s="76">
        <f t="shared" ref="CI209:CI240" si="90">IF(ISERROR(VLOOKUP(CV209,$AL$8:$AL$14,1,FALSE))=TRUE,IF(CH209&lt;&gt;"",IF(CH209&gt;0,RANK(CH209,$CH$111:$CH$300),""),""),"")</f>
      </c>
      <c s="75">
        <f t="shared" si="84"/>
      </c>
      <c s="76">
        <f t="shared" ref="CK209:CK240" si="91">IF(ISERROR(VLOOKUP(CV209,$AL$8:$AL$14,1,FALSE))=TRUE,IF(CJ209&lt;&gt;"",IF(CJ209&gt;0,RANK(CJ209,$CJ$111:$CJ$300),""),""),"")</f>
      </c>
      <c s="75">
        <f t="shared" ref="CL209:CL240" si="92">IF(ISERROR(VLOOKUP(CV209,$AL$8:$AL$14,1,FALSE))=TRUE,IF(AND(CV209=CW209,CV209&lt;&gt;"",DJ209&lt;&gt;""),IF(AND(ISERROR(FIND("NeighMkt",$CX$102))=FALSE,LEFT($CW$111,10)="ALL OUTLET"),DJ209-IF(ISERROR(VLOOKUP(CV209,$CA$113:$DK$300,36,FALSE))=TRUE,0,IF(VLOOKUP(CV209,$CA$113:$DK$300,36,FALSE)="",0,VLOOKUP(CV209,$CA$113:$DK$300,36,FALSE))),DJ209),""),"")</f>
      </c>
      <c s="76">
        <f t="shared" ref="CM209:CM240" si="93">IF(ISERROR(VLOOKUP(CV209,$AL$8:$AL$14,1,FALSE))=TRUE,IF(CL209&lt;&gt;"",IF(CL209&gt;0,IF($Z$4&lt;&gt;"",MIN(4,RANK(CL209,$CL$111:$CL$300)),RANK(CL209,$CL$111:$CL$300)),""),""),"")</f>
      </c>
      <c s="75">
        <f t="shared" si="68"/>
      </c>
      <c s="76">
        <f t="shared" ref="CO209:CO240" si="94">IF(ISERROR(VLOOKUP(CV209,$AL$8:$AL$14,1,FALSE))=TRUE,IF(CN209&lt;&gt;"",IF(CN209&gt;0,RANK(CN209,$CN$111:$CN$300),""),""),"")</f>
      </c>
      <c s="75">
        <f t="shared" si="70"/>
      </c>
      <c s="76">
        <f t="shared" ref="CQ209:CQ240" si="95">IF(ISERROR(VLOOKUP(CV209,$AL$8:$AL$14,1,FALSE))=TRUE,IF(CP209&lt;&gt;"",IF(CP209&gt;0,RANK(CP209,$CP$111:$CP$300),""),""),"")</f>
      </c>
      <c s="75">
        <f t="shared" si="72"/>
      </c>
      <c s="76">
        <f t="shared" ref="CS209:CS240" si="96">IF(ISERROR(VLOOKUP(CV209,$AL$8:$AL$14,1,FALSE))=TRUE,IF(CR209&lt;&gt;"",IF(CR209&gt;0,RANK(CR209,$CR$111:$CR$300),""),""),"")</f>
      </c>
      <c s="75">
        <f t="shared" si="85"/>
      </c>
      <c s="76">
        <f t="shared" ref="CU209:CU240" si="97">IF(ISERROR(VLOOKUP(CV209,$AL$8:$AL$14,1,FALSE))=TRUE,IF(CT209&lt;&gt;"",IF(CT209&gt;0,RANK(CT209,$CT$111:$CT$300),""),""),"")</f>
      </c>
      <c s="65" t="str">
        <f t="shared" si="75"/>
        <v>Orchard Supply</v>
      </c>
      <c s="65" t="str">
        <f t="shared" si="76"/>
        <v>Hardware-Home</v>
      </c>
      <c s="72" t="str">
        <f>IF('[1]Leakage Tree Data'!A108&lt;&gt;"",'[1]Leakage Tree Data'!A108,"")</f>
        <v>Total US - Orchard Supply</v>
      </c>
      <c s="72" t="str">
        <f>IF('[1]Leakage Tree Data'!B108&lt;&gt;"",'[1]Leakage Tree Data'!B108,"")</f>
        <v>Total US - Hardware-Home</v>
      </c>
      <c s="72">
        <f>IF('[1]Leakage Tree Data'!C108&lt;&gt;"",'[1]Leakage Tree Data'!C108,"")</f>
        <v>121171760.292236</v>
      </c>
      <c s="72">
        <f>IF('[1]Leakage Tree Data'!D108&lt;&gt;"",'[1]Leakage Tree Data'!D108,"")</f>
        <v>1701150.85211182</v>
      </c>
      <c s="72">
        <f>IF('[1]Leakage Tree Data'!E108&lt;&gt;"",'[1]Leakage Tree Data'!E108,"")</f>
        <v>1.40391692586545</v>
      </c>
      <c s="72">
        <f>IF('[1]Leakage Tree Data'!F108&lt;&gt;"",'[1]Leakage Tree Data'!F108,"")</f>
        <v>119470609.440125</v>
      </c>
      <c s="72">
        <f>IF('[1]Leakage Tree Data'!G108&lt;&gt;"",'[1]Leakage Tree Data'!G108,"")</f>
        <v>98.5960830741346</v>
      </c>
      <c s="72">
        <f>IF('[1]Leakage Tree Data'!H108&lt;&gt;"",'[1]Leakage Tree Data'!H108,"")</f>
        <v>61518209.9918823</v>
      </c>
      <c s="72" t="str">
        <f>IF('[1]Leakage Tree Data'!I108&lt;&gt;"",'[1]Leakage Tree Data'!I108,"")</f>
        <v>Hardware-Home</v>
      </c>
      <c s="72">
        <f>IF('[1]Leakage Tree Data'!J108&lt;&gt;"",'[1]Leakage Tree Data'!J108,"")</f>
      </c>
      <c s="72">
        <f>IF('[1]Leakage Tree Data'!K108&lt;&gt;"",'[1]Leakage Tree Data'!K108,"")</f>
      </c>
      <c s="72">
        <f>IF('[1]Leakage Tree Data'!L108&lt;&gt;"",'[1]Leakage Tree Data'!L108,"")</f>
      </c>
      <c s="72">
        <f>IF('[1]Leakage Tree Data'!M108&lt;&gt;"",'[1]Leakage Tree Data'!M108,"")</f>
      </c>
      <c s="72">
        <f>IF('[1]Leakage Tree Data'!N108&lt;&gt;"",'[1]Leakage Tree Data'!N108,"")</f>
      </c>
      <c s="72">
        <f>IF('[1]Leakage Tree Data'!O108&lt;&gt;"",'[1]Leakage Tree Data'!O108,"")</f>
      </c>
      <c s="72">
        <f>IF('[1]Leakage Tree Data'!P108&lt;&gt;"",'[1]Leakage Tree Data'!P108,"")</f>
      </c>
      <c s="72">
        <f>IF('[1]Leakage Tree Data'!Q108&lt;&gt;"",'[1]Leakage Tree Data'!Q108,"")</f>
      </c>
      <c s="72">
        <f>IF('[1]Leakage Tree Data'!R108&lt;&gt;"",'[1]Leakage Tree Data'!R108,"")</f>
        <v>1017625.85098267</v>
      </c>
      <c s="72">
        <f>IF('[1]Leakage Tree Data'!S108&lt;&gt;"",'[1]Leakage Tree Data'!S108,"")</f>
        <v>76118.5184631348</v>
      </c>
      <c s="72">
        <f>IF('[1]Leakage Tree Data'!T108&lt;&gt;"",'[1]Leakage Tree Data'!T108,"")</f>
        <v>0.0514604821438232</v>
      </c>
      <c s="72">
        <f>IF('[1]Leakage Tree Data'!U108&lt;&gt;"",'[1]Leakage Tree Data'!U108,"")</f>
        <v>941507.332519531</v>
      </c>
      <c s="72">
        <f>IF('[1]Leakage Tree Data'!V108&lt;&gt;"",'[1]Leakage Tree Data'!V108,"")</f>
        <v>-0.051460482143824</v>
      </c>
      <c s="72">
        <f>IF('[1]Leakage Tree Data'!W108&lt;&gt;"",'[1]Leakage Tree Data'!W108,"")</f>
        <v>-1855949.2237854</v>
      </c>
      <c s="72">
        <f>IF('[1]Leakage Tree Data'!X108&lt;&gt;"",'[1]Leakage Tree Data'!X108,"")</f>
      </c>
      <c s="72">
        <f>IF('[1]Leakage Tree Data'!Y108&lt;&gt;"",'[1]Leakage Tree Data'!Y108,"")</f>
      </c>
      <c s="72">
        <f>IF('[1]Leakage Tree Data'!Z108&lt;&gt;"",'[1]Leakage Tree Data'!Z108,"")</f>
      </c>
      <c s="72">
        <f>IF('[1]Leakage Tree Data'!AA108&lt;&gt;"",'[1]Leakage Tree Data'!AA108,"")</f>
      </c>
      <c s="72">
        <f>IF('[1]Leakage Tree Data'!AB108&lt;&gt;"",'[1]Leakage Tree Data'!AB108,"")</f>
      </c>
      <c s="72">
        <f>IF('[1]Leakage Tree Data'!AC108&lt;&gt;"",'[1]Leakage Tree Data'!AC108,"")</f>
      </c>
      <c s="72">
        <f>IF('[1]Leakage Tree Data'!AD108&lt;&gt;"",'[1]Leakage Tree Data'!AD108,"")</f>
      </c>
      <c s="72">
        <f>IF('[1]Leakage Tree Data'!AE108&lt;&gt;"",'[1]Leakage Tree Data'!AE108,"")</f>
      </c>
      <c s="73">
        <f t="shared" ref="EC209:EC240" si="98">IF(AND(CV209=CW209,CV209&lt;&gt;"",DJ209&lt;&gt;""),IF(AND(ISERROR(FIND("NeighMkt",$CX$102))=FALSE,LEFT($CW$111,10)="ALL OUTLET"),DJ209-IF(ISERROR(VLOOKUP(CV209,$CA$113:$DK$300,36,FALSE))=TRUE,0,IF(VLOOKUP(CV209,$CA$113:$DK$300,36,FALSE)="",0,VLOOKUP(CV209,$CA$113:$DK$300,36,FALSE))),DJ209),"")</f>
      </c>
      <c s="73">
        <f t="shared" ref="ED209:ED240" si="99">IF(AND(CV209=CW209,CV209&lt;&gt;"",DI$111&lt;&gt;"",DK209&lt;&gt;""),IF(CW$101="Y",DK209-IF(ISERROR(VLOOKUP(CV209,$CA$113:$DK$300,37,FALSE))=TRUE,0,IF(VLOOKUP(CV209,$CA$113:$DK$300,37,FALSE)="",0,VLOOKUP(CV209,$CA$113:$DK$300,37,FALSE))),DK209-IF(AND(CW$102="Y",CV209=$CW$111),DI$111,0)),"")</f>
      </c>
      <c s="73">
        <f t="shared" ref="EE209:EE240" si="100">IF(AND(CV209=CW209,CV209&lt;&gt;"",DJ209&lt;&gt;"",DY209&lt;&gt;""),IF(AND(ISERROR(FIND("NeighMkt",$CX$102))=FALSE,LEFT($CW$111,10)="ALL OUTLET"),DY209-IF(ISERROR(VLOOKUP(CV209,$CA$113:$DZ$300,51,FALSE))=TRUE,0,IF(VLOOKUP(CV209,$CA$113:$DZ$300,51,FALSE)="",0,VLOOKUP(CV209,$CA$113:$DZ$300,51,FALSE))),DY209),"")</f>
      </c>
      <c s="73">
        <f t="shared" ref="EF209:EF240" si="101">IF(AND(CV209=CW209,CV209&lt;&gt;"",DI$111&lt;&gt;"",DK209&lt;&gt;"",DZ209&lt;&gt;""),IF(CW$101="Y",DZ209-IF(ISERROR(VLOOKUP(CV209,$CA$113:$DZ$300,52,FALSE))=TRUE,0,IF(VLOOKUP(CV209,$CA$113:$DZ$300,52,FALSE)="",0,VLOOKUP(CV209,$CA$113:$DZ$300,52,FALSE))),DZ209-IF(AND(CW$102="Y",CV209=$CW$111),DX$111,0)),"")</f>
      </c>
      <c s="74">
        <f t="shared" si="81"/>
      </c>
      <c s="74">
        <f t="shared" si="82"/>
      </c>
      <c s="69" t="str">
        <f t="shared" si="55"/>
        <v>Total US - Orchard Supply</v>
      </c>
      <c s="69" t="str">
        <f t="shared" si="56"/>
        <v>Total US - Hardware-Home</v>
      </c>
      <c s="77"/>
    </row>
    <row r="210" spans="1:141" s="92" customFormat="1" ht="15">
      <c r="A21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 t="shared" si="86"/>
      </c>
      <c s="76">
        <f t="shared" si="87"/>
      </c>
      <c s="75">
        <f t="shared" ref="CD210:CD260" si="102">IF(ISERROR(VLOOKUP(CV210,$AL$8:$AL$14,1,FALSE))=TRUE,IF(AND(ISERROR(FIND("NeighMkt",$CX$102))=FALSE,LEFT($CW$111,10)="ALL OUTLET",$CA210&lt;&gt;"",DK210&lt;&gt;""),"",IF(AND($CV210&lt;&gt;$CW210,$CW210=CD$110),$DK210,"")),"")</f>
      </c>
      <c s="76">
        <f t="shared" si="88"/>
      </c>
      <c s="75">
        <f t="shared" ref="CF210:CF260" si="103">IF(ISERROR(VLOOKUP(CV210,$AL$8:$AL$14,1,FALSE))=TRUE,IF(AND(ISERROR(FIND("NeighMkt",$CX$102))=FALSE,LEFT($CW$111,10)="ALL OUTLET",$CA210&lt;&gt;"",DK210&lt;&gt;""),"",IF(AND($CV210&lt;&gt;$CW210,$CW210=CF$110),$DK210,"")),"")</f>
      </c>
      <c s="76">
        <f t="shared" si="89"/>
      </c>
      <c s="75">
        <f t="shared" ref="CH210:CH260" si="104">IF(ISERROR(VLOOKUP(CV210,$AL$8:$AL$14,1,FALSE))=TRUE,IF(AND(ISERROR(FIND("NeighMkt",$CX$102))=FALSE,LEFT($CW$111,10)="ALL OUTLET",$CA210&lt;&gt;"",DK210&lt;&gt;""),"",IF(AND($CV210&lt;&gt;$CW210,$CW210=CH$110),$DK210,"")),"")</f>
      </c>
      <c s="76">
        <f t="shared" si="90"/>
      </c>
      <c s="75">
        <f t="shared" si="84"/>
      </c>
      <c s="76">
        <f t="shared" si="91"/>
      </c>
      <c s="75">
        <f t="shared" si="92"/>
      </c>
      <c s="76">
        <f t="shared" si="93"/>
      </c>
      <c s="75">
        <f t="shared" ref="CN210:CN260" si="105">IF(ISERROR(VLOOKUP(CV210,$AL$8:$AL$14,1,FALSE))=TRUE,IF(AND(ISERROR(FIND("NeighMkt",$CX$102))=FALSE,LEFT($CW$111,10)="ALL OUTLET",$CA210&lt;&gt;"",DJ210&lt;&gt;""),"",IF(AND($CV210&lt;&gt;$CW210,$CW210=CN$110),$DJ210,"")),"")</f>
      </c>
      <c s="76">
        <f t="shared" si="94"/>
      </c>
      <c s="75">
        <f t="shared" ref="CP210:CP260" si="106">IF(ISERROR(VLOOKUP(CV210,$AL$8:$AL$14,1,FALSE))=TRUE,IF(AND(ISERROR(FIND("NeighMkt",$CX$102))=FALSE,LEFT($CW$111,10)="ALL OUTLET",$CA210&lt;&gt;"",DJ210&lt;&gt;""),"",IF(AND($CV210&lt;&gt;$CW210,$CW210=CP$110),$DJ210,"")),"")</f>
      </c>
      <c s="76">
        <f t="shared" si="95"/>
      </c>
      <c s="75">
        <f t="shared" ref="CR210:CR260" si="107">IF(ISERROR(VLOOKUP(CV210,$AL$8:$AL$14,1,FALSE))=TRUE,IF(AND(ISERROR(FIND("NeighMkt",$CX$102))=FALSE,LEFT($CW$111,10)="ALL OUTLET",$CA210&lt;&gt;"",DJ210&lt;&gt;""),"",IF(AND($CV210&lt;&gt;$CW210,$CW210=CR$110),$DJ210,"")),"")</f>
      </c>
      <c s="76">
        <f t="shared" si="96"/>
      </c>
      <c s="75">
        <f t="shared" si="85"/>
      </c>
      <c s="76">
        <f t="shared" si="97"/>
      </c>
      <c s="65" t="str">
        <f t="shared" si="75"/>
        <v>Sears Hardware</v>
      </c>
      <c s="65" t="str">
        <f t="shared" si="76"/>
        <v>Hardware-Home</v>
      </c>
      <c s="72" t="str">
        <f>IF('[1]Leakage Tree Data'!A109&lt;&gt;"",'[1]Leakage Tree Data'!A109,"")</f>
        <v>Total US - Sears Hardware</v>
      </c>
      <c s="72" t="str">
        <f>IF('[1]Leakage Tree Data'!B109&lt;&gt;"",'[1]Leakage Tree Data'!B109,"")</f>
        <v>Total US - Hardware-Home</v>
      </c>
      <c s="72">
        <f>IF('[1]Leakage Tree Data'!C109&lt;&gt;"",'[1]Leakage Tree Data'!C109,"")</f>
        <v>121171760.292236</v>
      </c>
      <c s="72">
        <f>IF('[1]Leakage Tree Data'!D109&lt;&gt;"",'[1]Leakage Tree Data'!D109,"")</f>
        <v>1641610.64239502</v>
      </c>
      <c s="72">
        <f>IF('[1]Leakage Tree Data'!E109&lt;&gt;"",'[1]Leakage Tree Data'!E109,"")</f>
        <v>1.3547798913178</v>
      </c>
      <c s="72">
        <f>IF('[1]Leakage Tree Data'!F109&lt;&gt;"",'[1]Leakage Tree Data'!F109,"")</f>
        <v>119530149.649841</v>
      </c>
      <c s="72">
        <f>IF('[1]Leakage Tree Data'!G109&lt;&gt;"",'[1]Leakage Tree Data'!G109,"")</f>
        <v>98.6452201086822</v>
      </c>
      <c s="72">
        <f>IF('[1]Leakage Tree Data'!H109&lt;&gt;"",'[1]Leakage Tree Data'!H109,"")</f>
        <v>61518209.9918823</v>
      </c>
      <c s="72" t="str">
        <f>IF('[1]Leakage Tree Data'!I109&lt;&gt;"",'[1]Leakage Tree Data'!I109,"")</f>
        <v>Hardware-Home</v>
      </c>
      <c s="72">
        <f>IF('[1]Leakage Tree Data'!J109&lt;&gt;"",'[1]Leakage Tree Data'!J109,"")</f>
      </c>
      <c s="72">
        <f>IF('[1]Leakage Tree Data'!K109&lt;&gt;"",'[1]Leakage Tree Data'!K109,"")</f>
      </c>
      <c s="72">
        <f>IF('[1]Leakage Tree Data'!L109&lt;&gt;"",'[1]Leakage Tree Data'!L109,"")</f>
      </c>
      <c s="72">
        <f>IF('[1]Leakage Tree Data'!M109&lt;&gt;"",'[1]Leakage Tree Data'!M109,"")</f>
      </c>
      <c s="72">
        <f>IF('[1]Leakage Tree Data'!N109&lt;&gt;"",'[1]Leakage Tree Data'!N109,"")</f>
      </c>
      <c s="72">
        <f>IF('[1]Leakage Tree Data'!O109&lt;&gt;"",'[1]Leakage Tree Data'!O109,"")</f>
      </c>
      <c s="72">
        <f>IF('[1]Leakage Tree Data'!P109&lt;&gt;"",'[1]Leakage Tree Data'!P109,"")</f>
      </c>
      <c s="72">
        <f>IF('[1]Leakage Tree Data'!Q109&lt;&gt;"",'[1]Leakage Tree Data'!Q109,"")</f>
      </c>
      <c s="72">
        <f>IF('[1]Leakage Tree Data'!R109&lt;&gt;"",'[1]Leakage Tree Data'!R109,"")</f>
        <v>1017625.85098267</v>
      </c>
      <c s="72">
        <f>IF('[1]Leakage Tree Data'!S109&lt;&gt;"",'[1]Leakage Tree Data'!S109,"")</f>
        <v>-370120.780212402</v>
      </c>
      <c s="72">
        <f>IF('[1]Leakage Tree Data'!T109&lt;&gt;"",'[1]Leakage Tree Data'!T109,"")</f>
        <v>-0.319512409952126</v>
      </c>
      <c s="72">
        <f>IF('[1]Leakage Tree Data'!U109&lt;&gt;"",'[1]Leakage Tree Data'!U109,"")</f>
        <v>1387746.63119507</v>
      </c>
      <c s="72">
        <f>IF('[1]Leakage Tree Data'!V109&lt;&gt;"",'[1]Leakage Tree Data'!V109,"")</f>
        <v>0.319512409952125</v>
      </c>
      <c s="72">
        <f>IF('[1]Leakage Tree Data'!W109&lt;&gt;"",'[1]Leakage Tree Data'!W109,"")</f>
        <v>-1855949.2237854</v>
      </c>
      <c s="72">
        <f>IF('[1]Leakage Tree Data'!X109&lt;&gt;"",'[1]Leakage Tree Data'!X109,"")</f>
      </c>
      <c s="72">
        <f>IF('[1]Leakage Tree Data'!Y109&lt;&gt;"",'[1]Leakage Tree Data'!Y109,"")</f>
      </c>
      <c s="72">
        <f>IF('[1]Leakage Tree Data'!Z109&lt;&gt;"",'[1]Leakage Tree Data'!Z109,"")</f>
      </c>
      <c s="72">
        <f>IF('[1]Leakage Tree Data'!AA109&lt;&gt;"",'[1]Leakage Tree Data'!AA109,"")</f>
      </c>
      <c s="72">
        <f>IF('[1]Leakage Tree Data'!AB109&lt;&gt;"",'[1]Leakage Tree Data'!AB109,"")</f>
      </c>
      <c s="72">
        <f>IF('[1]Leakage Tree Data'!AC109&lt;&gt;"",'[1]Leakage Tree Data'!AC109,"")</f>
      </c>
      <c s="72">
        <f>IF('[1]Leakage Tree Data'!AD109&lt;&gt;"",'[1]Leakage Tree Data'!AD109,"")</f>
      </c>
      <c s="72">
        <f>IF('[1]Leakage Tree Data'!AE109&lt;&gt;"",'[1]Leakage Tree Data'!AE109,"")</f>
      </c>
      <c s="73">
        <f t="shared" si="98"/>
      </c>
      <c s="73">
        <f t="shared" si="99"/>
      </c>
      <c s="73">
        <f t="shared" si="100"/>
      </c>
      <c s="73">
        <f t="shared" si="101"/>
      </c>
      <c s="74">
        <f t="shared" ref="EG210:EG260" si="108">IF(AND(CV210=CW210,CV210&lt;&gt;"",DJ210&lt;&gt;"",EE210&lt;&gt;""),EC210/$DJ$112-(EC210-EE210)/($DJ$112-$DY$112),"")</f>
      </c>
      <c s="74">
        <f t="shared" ref="EH210:EH260" si="109">IF(AND(CV210=CW210,CV210&lt;&gt;"",DI$111&lt;&gt;"",DK210&lt;&gt;"",EF210&lt;&gt;""),ED210/$DI$112-(ED210-EF210)/($DI$112-$DX$112),"")</f>
      </c>
      <c s="69" t="str">
        <f t="shared" si="55"/>
        <v>Total US - Sears Hardware</v>
      </c>
      <c s="69" t="str">
        <f t="shared" si="56"/>
        <v>Total US - Hardware-Home</v>
      </c>
      <c s="77"/>
    </row>
    <row r="211" spans="1:141" s="92" customFormat="1" ht="15">
      <c r="A21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 t="shared" si="86"/>
      </c>
      <c s="76">
        <f t="shared" si="87"/>
      </c>
      <c s="75">
        <f t="shared" si="102"/>
      </c>
      <c s="76">
        <f t="shared" si="88"/>
      </c>
      <c s="75">
        <f t="shared" si="103"/>
      </c>
      <c s="76">
        <f t="shared" si="89"/>
      </c>
      <c s="75">
        <f t="shared" si="104"/>
      </c>
      <c s="76">
        <f t="shared" si="90"/>
      </c>
      <c s="75">
        <f t="shared" si="84"/>
      </c>
      <c s="76">
        <f t="shared" si="91"/>
      </c>
      <c s="75">
        <f t="shared" si="92"/>
      </c>
      <c s="76">
        <f t="shared" si="93"/>
      </c>
      <c s="75">
        <f t="shared" si="105"/>
      </c>
      <c s="76">
        <f t="shared" si="94"/>
      </c>
      <c s="75">
        <f t="shared" si="106"/>
      </c>
      <c s="76">
        <f t="shared" si="95"/>
      </c>
      <c s="75">
        <f t="shared" si="107"/>
      </c>
      <c s="76">
        <f t="shared" si="96"/>
      </c>
      <c s="75">
        <f t="shared" si="85"/>
      </c>
      <c s="76">
        <f t="shared" si="97"/>
      </c>
      <c s="65" t="str">
        <f t="shared" si="75"/>
        <v>True Value</v>
      </c>
      <c s="65" t="str">
        <f t="shared" si="76"/>
        <v>Hardware-Home</v>
      </c>
      <c s="72" t="str">
        <f>IF('[1]Leakage Tree Data'!A110&lt;&gt;"",'[1]Leakage Tree Data'!A110,"")</f>
        <v>Total US - True Value</v>
      </c>
      <c s="72" t="str">
        <f>IF('[1]Leakage Tree Data'!B110&lt;&gt;"",'[1]Leakage Tree Data'!B110,"")</f>
        <v>Total US - Hardware-Home</v>
      </c>
      <c s="72">
        <f>IF('[1]Leakage Tree Data'!C110&lt;&gt;"",'[1]Leakage Tree Data'!C110,"")</f>
        <v>121171760.292236</v>
      </c>
      <c s="72">
        <f>IF('[1]Leakage Tree Data'!D110&lt;&gt;"",'[1]Leakage Tree Data'!D110,"")</f>
        <v>3484356.33636475</v>
      </c>
      <c s="72">
        <f>IF('[1]Leakage Tree Data'!E110&lt;&gt;"",'[1]Leakage Tree Data'!E110,"")</f>
        <v>2.87555147169715</v>
      </c>
      <c s="72">
        <f>IF('[1]Leakage Tree Data'!F110&lt;&gt;"",'[1]Leakage Tree Data'!F110,"")</f>
        <v>117687403.955872</v>
      </c>
      <c s="72">
        <f>IF('[1]Leakage Tree Data'!G110&lt;&gt;"",'[1]Leakage Tree Data'!G110,"")</f>
        <v>97.1244485283029</v>
      </c>
      <c s="72">
        <f>IF('[1]Leakage Tree Data'!H110&lt;&gt;"",'[1]Leakage Tree Data'!H110,"")</f>
        <v>61518209.9918823</v>
      </c>
      <c s="72" t="str">
        <f>IF('[1]Leakage Tree Data'!I110&lt;&gt;"",'[1]Leakage Tree Data'!I110,"")</f>
        <v>Hardware-Home</v>
      </c>
      <c s="72">
        <f>IF('[1]Leakage Tree Data'!J110&lt;&gt;"",'[1]Leakage Tree Data'!J110,"")</f>
      </c>
      <c s="72">
        <f>IF('[1]Leakage Tree Data'!K110&lt;&gt;"",'[1]Leakage Tree Data'!K110,"")</f>
      </c>
      <c s="72">
        <f>IF('[1]Leakage Tree Data'!L110&lt;&gt;"",'[1]Leakage Tree Data'!L110,"")</f>
      </c>
      <c s="72">
        <f>IF('[1]Leakage Tree Data'!M110&lt;&gt;"",'[1]Leakage Tree Data'!M110,"")</f>
      </c>
      <c s="72">
        <f>IF('[1]Leakage Tree Data'!N110&lt;&gt;"",'[1]Leakage Tree Data'!N110,"")</f>
      </c>
      <c s="72">
        <f>IF('[1]Leakage Tree Data'!O110&lt;&gt;"",'[1]Leakage Tree Data'!O110,"")</f>
      </c>
      <c s="72">
        <f>IF('[1]Leakage Tree Data'!P110&lt;&gt;"",'[1]Leakage Tree Data'!P110,"")</f>
      </c>
      <c s="72">
        <f>IF('[1]Leakage Tree Data'!Q110&lt;&gt;"",'[1]Leakage Tree Data'!Q110,"")</f>
      </c>
      <c s="72">
        <f>IF('[1]Leakage Tree Data'!R110&lt;&gt;"",'[1]Leakage Tree Data'!R110,"")</f>
        <v>1017625.85098267</v>
      </c>
      <c s="72">
        <f>IF('[1]Leakage Tree Data'!S110&lt;&gt;"",'[1]Leakage Tree Data'!S110,"")</f>
        <v>-95714.9834289551</v>
      </c>
      <c s="72">
        <f>IF('[1]Leakage Tree Data'!T110&lt;&gt;"",'[1]Leakage Tree Data'!T110,"")</f>
        <v>-0.104014180739126</v>
      </c>
      <c s="72">
        <f>IF('[1]Leakage Tree Data'!U110&lt;&gt;"",'[1]Leakage Tree Data'!U110,"")</f>
        <v>1113340.83441162</v>
      </c>
      <c s="72">
        <f>IF('[1]Leakage Tree Data'!V110&lt;&gt;"",'[1]Leakage Tree Data'!V110,"")</f>
        <v>0.104014180739128</v>
      </c>
      <c s="72">
        <f>IF('[1]Leakage Tree Data'!W110&lt;&gt;"",'[1]Leakage Tree Data'!W110,"")</f>
        <v>-1855949.2237854</v>
      </c>
      <c s="72">
        <f>IF('[1]Leakage Tree Data'!X110&lt;&gt;"",'[1]Leakage Tree Data'!X110,"")</f>
      </c>
      <c s="72">
        <f>IF('[1]Leakage Tree Data'!Y110&lt;&gt;"",'[1]Leakage Tree Data'!Y110,"")</f>
      </c>
      <c s="72">
        <f>IF('[1]Leakage Tree Data'!Z110&lt;&gt;"",'[1]Leakage Tree Data'!Z110,"")</f>
      </c>
      <c s="72">
        <f>IF('[1]Leakage Tree Data'!AA110&lt;&gt;"",'[1]Leakage Tree Data'!AA110,"")</f>
      </c>
      <c s="72">
        <f>IF('[1]Leakage Tree Data'!AB110&lt;&gt;"",'[1]Leakage Tree Data'!AB110,"")</f>
      </c>
      <c s="72">
        <f>IF('[1]Leakage Tree Data'!AC110&lt;&gt;"",'[1]Leakage Tree Data'!AC110,"")</f>
      </c>
      <c s="72">
        <f>IF('[1]Leakage Tree Data'!AD110&lt;&gt;"",'[1]Leakage Tree Data'!AD110,"")</f>
      </c>
      <c s="72">
        <f>IF('[1]Leakage Tree Data'!AE110&lt;&gt;"",'[1]Leakage Tree Data'!AE110,"")</f>
      </c>
      <c s="73">
        <f t="shared" si="98"/>
      </c>
      <c s="73">
        <f t="shared" si="99"/>
      </c>
      <c s="73">
        <f t="shared" si="100"/>
      </c>
      <c s="73">
        <f t="shared" si="101"/>
      </c>
      <c s="74">
        <f t="shared" si="108"/>
      </c>
      <c s="74">
        <f t="shared" si="109"/>
      </c>
      <c s="69" t="str">
        <f t="shared" si="55"/>
        <v>Total US - True Value</v>
      </c>
      <c s="69" t="str">
        <f t="shared" si="56"/>
        <v>Total US - Hardware-Home</v>
      </c>
      <c s="77"/>
    </row>
    <row r="212" spans="1:141" s="92" customFormat="1" ht="15">
      <c r="A21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 t="shared" si="86"/>
      </c>
      <c s="76">
        <f t="shared" si="87"/>
      </c>
      <c s="75">
        <f t="shared" si="102"/>
      </c>
      <c s="76">
        <f t="shared" si="88"/>
      </c>
      <c s="75">
        <f t="shared" si="103"/>
      </c>
      <c s="76">
        <f t="shared" si="89"/>
      </c>
      <c s="75">
        <f t="shared" si="104"/>
      </c>
      <c s="76">
        <f t="shared" si="90"/>
      </c>
      <c s="75">
        <f t="shared" si="84"/>
      </c>
      <c s="76">
        <f t="shared" si="91"/>
      </c>
      <c s="75">
        <f t="shared" si="92"/>
      </c>
      <c s="76">
        <f t="shared" si="93"/>
      </c>
      <c s="75">
        <f t="shared" si="105"/>
      </c>
      <c s="76">
        <f t="shared" si="94"/>
      </c>
      <c s="75">
        <f t="shared" si="106"/>
      </c>
      <c s="76">
        <f t="shared" si="95"/>
      </c>
      <c s="75">
        <f t="shared" si="107"/>
      </c>
      <c s="76">
        <f t="shared" si="96"/>
      </c>
      <c s="75">
        <f t="shared" si="85"/>
      </c>
      <c s="76">
        <f t="shared" si="97"/>
      </c>
      <c s="65" t="str">
        <f t="shared" si="75"/>
        <v>Health/Vitamin</v>
      </c>
      <c s="65" t="str">
        <f t="shared" si="76"/>
        <v>Health/Vitamin</v>
      </c>
      <c s="72" t="str">
        <f>IF('[1]Leakage Tree Data'!A111&lt;&gt;"",'[1]Leakage Tree Data'!A111,"")</f>
        <v>Total US - Health/Vitamin</v>
      </c>
      <c s="72" t="str">
        <f>IF('[1]Leakage Tree Data'!B111&lt;&gt;"",'[1]Leakage Tree Data'!B111,"")</f>
        <v>Total US - Health/Vitamin</v>
      </c>
      <c s="72">
        <f>IF('[1]Leakage Tree Data'!C111&lt;&gt;"",'[1]Leakage Tree Data'!C111,"")</f>
        <v>121171760.292236</v>
      </c>
      <c s="72">
        <f>IF('[1]Leakage Tree Data'!D111&lt;&gt;"",'[1]Leakage Tree Data'!D111,"")</f>
        <v>9982051.37780762</v>
      </c>
      <c s="72">
        <f>IF('[1]Leakage Tree Data'!E111&lt;&gt;"",'[1]Leakage Tree Data'!E111,"")</f>
        <v>8.23793543457104</v>
      </c>
      <c s="72">
        <f>IF('[1]Leakage Tree Data'!F111&lt;&gt;"",'[1]Leakage Tree Data'!F111,"")</f>
        <v>111189708.914429</v>
      </c>
      <c s="72">
        <f>IF('[1]Leakage Tree Data'!G111&lt;&gt;"",'[1]Leakage Tree Data'!G111,"")</f>
        <v>91.762064565429</v>
      </c>
      <c s="72">
        <f>IF('[1]Leakage Tree Data'!H111&lt;&gt;"",'[1]Leakage Tree Data'!H111,"")</f>
        <v>61518209.9918823</v>
      </c>
      <c s="72" t="str">
        <f>IF('[1]Leakage Tree Data'!I111&lt;&gt;"",'[1]Leakage Tree Data'!I111,"")</f>
        <v>Health/Vitamin</v>
      </c>
      <c s="72">
        <f>IF('[1]Leakage Tree Data'!J111&lt;&gt;"",'[1]Leakage Tree Data'!J111,"")</f>
      </c>
      <c s="72">
        <f>IF('[1]Leakage Tree Data'!K111&lt;&gt;"",'[1]Leakage Tree Data'!K111,"")</f>
      </c>
      <c s="72">
        <f>IF('[1]Leakage Tree Data'!L111&lt;&gt;"",'[1]Leakage Tree Data'!L111,"")</f>
      </c>
      <c s="72">
        <f>IF('[1]Leakage Tree Data'!M111&lt;&gt;"",'[1]Leakage Tree Data'!M111,"")</f>
      </c>
      <c s="72">
        <f>IF('[1]Leakage Tree Data'!N111&lt;&gt;"",'[1]Leakage Tree Data'!N111,"")</f>
      </c>
      <c s="72">
        <f>IF('[1]Leakage Tree Data'!O111&lt;&gt;"",'[1]Leakage Tree Data'!O111,"")</f>
      </c>
      <c s="72">
        <f>IF('[1]Leakage Tree Data'!P111&lt;&gt;"",'[1]Leakage Tree Data'!P111,"")</f>
      </c>
      <c s="72">
        <f>IF('[1]Leakage Tree Data'!Q111&lt;&gt;"",'[1]Leakage Tree Data'!Q111,"")</f>
      </c>
      <c s="72">
        <f>IF('[1]Leakage Tree Data'!R111&lt;&gt;"",'[1]Leakage Tree Data'!R111,"")</f>
        <v>1017625.85098267</v>
      </c>
      <c s="72">
        <f>IF('[1]Leakage Tree Data'!S111&lt;&gt;"",'[1]Leakage Tree Data'!S111,"")</f>
        <v>-1352538.77322388</v>
      </c>
      <c s="72">
        <f>IF('[1]Leakage Tree Data'!T111&lt;&gt;"",'[1]Leakage Tree Data'!T111,"")</f>
        <v>-1.19543962467277</v>
      </c>
      <c s="72">
        <f>IF('[1]Leakage Tree Data'!U111&lt;&gt;"",'[1]Leakage Tree Data'!U111,"")</f>
        <v>2370164.62420654</v>
      </c>
      <c s="72">
        <f>IF('[1]Leakage Tree Data'!V111&lt;&gt;"",'[1]Leakage Tree Data'!V111,"")</f>
        <v>1.19543962467276</v>
      </c>
      <c s="72">
        <f>IF('[1]Leakage Tree Data'!W111&lt;&gt;"",'[1]Leakage Tree Data'!W111,"")</f>
        <v>-1855949.2237854</v>
      </c>
      <c s="72">
        <f>IF('[1]Leakage Tree Data'!X111&lt;&gt;"",'[1]Leakage Tree Data'!X111,"")</f>
      </c>
      <c s="72">
        <f>IF('[1]Leakage Tree Data'!Y111&lt;&gt;"",'[1]Leakage Tree Data'!Y111,"")</f>
      </c>
      <c s="72">
        <f>IF('[1]Leakage Tree Data'!Z111&lt;&gt;"",'[1]Leakage Tree Data'!Z111,"")</f>
      </c>
      <c s="72">
        <f>IF('[1]Leakage Tree Data'!AA111&lt;&gt;"",'[1]Leakage Tree Data'!AA111,"")</f>
      </c>
      <c s="72">
        <f>IF('[1]Leakage Tree Data'!AB111&lt;&gt;"",'[1]Leakage Tree Data'!AB111,"")</f>
      </c>
      <c s="72">
        <f>IF('[1]Leakage Tree Data'!AC111&lt;&gt;"",'[1]Leakage Tree Data'!AC111,"")</f>
      </c>
      <c s="72">
        <f>IF('[1]Leakage Tree Data'!AD111&lt;&gt;"",'[1]Leakage Tree Data'!AD111,"")</f>
      </c>
      <c s="72">
        <f>IF('[1]Leakage Tree Data'!AE111&lt;&gt;"",'[1]Leakage Tree Data'!AE111,"")</f>
      </c>
      <c s="73">
        <f t="shared" si="98"/>
      </c>
      <c s="73">
        <f t="shared" si="99"/>
      </c>
      <c s="73">
        <f t="shared" si="100"/>
      </c>
      <c s="73">
        <f t="shared" si="101"/>
      </c>
      <c s="74">
        <f t="shared" si="108"/>
      </c>
      <c s="74">
        <f t="shared" si="109"/>
      </c>
      <c s="69" t="str">
        <f t="shared" si="55"/>
        <v>Total US - Health/Vitamin</v>
      </c>
      <c s="69" t="str">
        <f t="shared" si="56"/>
        <v>Total US - Health/Vitamin</v>
      </c>
      <c s="77"/>
    </row>
    <row r="213" spans="1:141" s="92" customFormat="1" ht="15">
      <c r="A21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 t="shared" si="86"/>
      </c>
      <c s="76">
        <f t="shared" si="87"/>
      </c>
      <c s="75">
        <f t="shared" si="102"/>
      </c>
      <c s="76">
        <f t="shared" si="88"/>
      </c>
      <c s="75">
        <f t="shared" si="103"/>
      </c>
      <c s="76">
        <f t="shared" si="89"/>
      </c>
      <c s="75">
        <f t="shared" si="104"/>
      </c>
      <c s="76">
        <f t="shared" si="90"/>
      </c>
      <c s="75">
        <f t="shared" si="84"/>
      </c>
      <c s="76">
        <f t="shared" si="91"/>
      </c>
      <c s="75">
        <f t="shared" si="92"/>
      </c>
      <c s="76">
        <f t="shared" si="93"/>
      </c>
      <c s="75">
        <f t="shared" si="105"/>
      </c>
      <c s="76">
        <f t="shared" si="94"/>
      </c>
      <c s="75">
        <f t="shared" si="106"/>
      </c>
      <c s="76">
        <f t="shared" si="95"/>
      </c>
      <c s="75">
        <f t="shared" si="107"/>
      </c>
      <c s="76">
        <f t="shared" si="96"/>
      </c>
      <c s="75">
        <f t="shared" si="85"/>
      </c>
      <c s="76">
        <f t="shared" si="97"/>
      </c>
      <c s="65" t="str">
        <f t="shared" si="75"/>
        <v>GNC</v>
      </c>
      <c s="65" t="str">
        <f t="shared" si="76"/>
        <v>Health/Vitamin</v>
      </c>
      <c s="72" t="str">
        <f>IF('[1]Leakage Tree Data'!A112&lt;&gt;"",'[1]Leakage Tree Data'!A112,"")</f>
        <v>Total US - GNC</v>
      </c>
      <c s="72" t="str">
        <f>IF('[1]Leakage Tree Data'!B112&lt;&gt;"",'[1]Leakage Tree Data'!B112,"")</f>
        <v>Total US - Health/Vitamin</v>
      </c>
      <c s="72">
        <f>IF('[1]Leakage Tree Data'!C112&lt;&gt;"",'[1]Leakage Tree Data'!C112,"")</f>
        <v>121171760.292236</v>
      </c>
      <c s="72">
        <f>IF('[1]Leakage Tree Data'!D112&lt;&gt;"",'[1]Leakage Tree Data'!D112,"")</f>
        <v>3650297.37701416</v>
      </c>
      <c s="72">
        <f>IF('[1]Leakage Tree Data'!E112&lt;&gt;"",'[1]Leakage Tree Data'!E112,"")</f>
        <v>3.01249843050109</v>
      </c>
      <c s="72">
        <f>IF('[1]Leakage Tree Data'!F112&lt;&gt;"",'[1]Leakage Tree Data'!F112,"")</f>
        <v>117521462.915222</v>
      </c>
      <c s="72">
        <f>IF('[1]Leakage Tree Data'!G112&lt;&gt;"",'[1]Leakage Tree Data'!G112,"")</f>
        <v>96.9875015694989</v>
      </c>
      <c s="72">
        <f>IF('[1]Leakage Tree Data'!H112&lt;&gt;"",'[1]Leakage Tree Data'!H112,"")</f>
        <v>61518209.9918823</v>
      </c>
      <c s="72" t="str">
        <f>IF('[1]Leakage Tree Data'!I112&lt;&gt;"",'[1]Leakage Tree Data'!I112,"")</f>
        <v>Health/Vitamin</v>
      </c>
      <c s="72">
        <f>IF('[1]Leakage Tree Data'!J112&lt;&gt;"",'[1]Leakage Tree Data'!J112,"")</f>
      </c>
      <c s="72">
        <f>IF('[1]Leakage Tree Data'!K112&lt;&gt;"",'[1]Leakage Tree Data'!K112,"")</f>
      </c>
      <c s="72">
        <f>IF('[1]Leakage Tree Data'!L112&lt;&gt;"",'[1]Leakage Tree Data'!L112,"")</f>
      </c>
      <c s="72">
        <f>IF('[1]Leakage Tree Data'!M112&lt;&gt;"",'[1]Leakage Tree Data'!M112,"")</f>
      </c>
      <c s="72">
        <f>IF('[1]Leakage Tree Data'!N112&lt;&gt;"",'[1]Leakage Tree Data'!N112,"")</f>
      </c>
      <c s="72">
        <f>IF('[1]Leakage Tree Data'!O112&lt;&gt;"",'[1]Leakage Tree Data'!O112,"")</f>
      </c>
      <c s="72">
        <f>IF('[1]Leakage Tree Data'!P112&lt;&gt;"",'[1]Leakage Tree Data'!P112,"")</f>
      </c>
      <c s="72">
        <f>IF('[1]Leakage Tree Data'!Q112&lt;&gt;"",'[1]Leakage Tree Data'!Q112,"")</f>
      </c>
      <c s="72">
        <f>IF('[1]Leakage Tree Data'!R112&lt;&gt;"",'[1]Leakage Tree Data'!R112,"")</f>
        <v>1017625.85098267</v>
      </c>
      <c s="72">
        <f>IF('[1]Leakage Tree Data'!S112&lt;&gt;"",'[1]Leakage Tree Data'!S112,"")</f>
        <v>-663346.068054199</v>
      </c>
      <c s="72">
        <f>IF('[1]Leakage Tree Data'!T112&lt;&gt;"",'[1]Leakage Tree Data'!T112,"")</f>
        <v>-0.577593134077912</v>
      </c>
      <c s="72">
        <f>IF('[1]Leakage Tree Data'!U112&lt;&gt;"",'[1]Leakage Tree Data'!U112,"")</f>
        <v>1680971.91903687</v>
      </c>
      <c s="72">
        <f>IF('[1]Leakage Tree Data'!V112&lt;&gt;"",'[1]Leakage Tree Data'!V112,"")</f>
        <v>0.577593134077915</v>
      </c>
      <c s="72">
        <f>IF('[1]Leakage Tree Data'!W112&lt;&gt;"",'[1]Leakage Tree Data'!W112,"")</f>
        <v>-1855949.2237854</v>
      </c>
      <c s="72">
        <f>IF('[1]Leakage Tree Data'!X112&lt;&gt;"",'[1]Leakage Tree Data'!X112,"")</f>
      </c>
      <c s="72">
        <f>IF('[1]Leakage Tree Data'!Y112&lt;&gt;"",'[1]Leakage Tree Data'!Y112,"")</f>
      </c>
      <c s="72">
        <f>IF('[1]Leakage Tree Data'!Z112&lt;&gt;"",'[1]Leakage Tree Data'!Z112,"")</f>
      </c>
      <c s="72">
        <f>IF('[1]Leakage Tree Data'!AA112&lt;&gt;"",'[1]Leakage Tree Data'!AA112,"")</f>
      </c>
      <c s="72">
        <f>IF('[1]Leakage Tree Data'!AB112&lt;&gt;"",'[1]Leakage Tree Data'!AB112,"")</f>
      </c>
      <c s="72">
        <f>IF('[1]Leakage Tree Data'!AC112&lt;&gt;"",'[1]Leakage Tree Data'!AC112,"")</f>
      </c>
      <c s="72">
        <f>IF('[1]Leakage Tree Data'!AD112&lt;&gt;"",'[1]Leakage Tree Data'!AD112,"")</f>
      </c>
      <c s="72">
        <f>IF('[1]Leakage Tree Data'!AE112&lt;&gt;"",'[1]Leakage Tree Data'!AE112,"")</f>
      </c>
      <c s="73">
        <f t="shared" si="98"/>
      </c>
      <c s="73">
        <f t="shared" si="99"/>
      </c>
      <c s="73">
        <f t="shared" si="100"/>
      </c>
      <c s="73">
        <f t="shared" si="101"/>
      </c>
      <c s="74">
        <f t="shared" si="108"/>
      </c>
      <c s="74">
        <f t="shared" si="109"/>
      </c>
      <c s="69" t="str">
        <f t="shared" si="55"/>
        <v>Total US - GNC</v>
      </c>
      <c s="69" t="str">
        <f t="shared" si="56"/>
        <v>Total US - Health/Vitamin</v>
      </c>
      <c s="77"/>
    </row>
    <row r="214" spans="1:141" s="92" customFormat="1" ht="15">
      <c r="A21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 t="shared" si="86"/>
        <v>4964319.86269379</v>
      </c>
      <c s="76">
        <f t="shared" si="87"/>
        <v>4</v>
      </c>
      <c s="75">
        <f t="shared" si="102"/>
      </c>
      <c s="76">
        <f t="shared" si="88"/>
      </c>
      <c s="75">
        <f t="shared" si="103"/>
      </c>
      <c s="76">
        <f t="shared" si="89"/>
      </c>
      <c s="75">
        <f t="shared" si="104"/>
      </c>
      <c s="76">
        <f t="shared" si="90"/>
      </c>
      <c s="75">
        <f t="shared" si="84"/>
      </c>
      <c s="76">
        <f t="shared" si="91"/>
      </c>
      <c s="75">
        <f t="shared" si="92"/>
        <v>16404380.9024658</v>
      </c>
      <c s="76">
        <f t="shared" si="93"/>
        <v>4</v>
      </c>
      <c s="75">
        <f t="shared" si="105"/>
      </c>
      <c s="76">
        <f t="shared" si="94"/>
      </c>
      <c s="75">
        <f t="shared" si="106"/>
      </c>
      <c s="76">
        <f t="shared" si="95"/>
      </c>
      <c s="75">
        <f t="shared" si="107"/>
      </c>
      <c s="76">
        <f t="shared" si="96"/>
      </c>
      <c s="75">
        <f t="shared" si="85"/>
      </c>
      <c s="76">
        <f t="shared" si="97"/>
      </c>
      <c s="65" t="str">
        <f t="shared" si="75"/>
        <v>Internet</v>
      </c>
      <c s="65" t="str">
        <f t="shared" si="76"/>
        <v>Internet</v>
      </c>
      <c s="72" t="str">
        <f>IF('[1]Leakage Tree Data'!A113&lt;&gt;"",'[1]Leakage Tree Data'!A113,"")</f>
        <v>Total US - Internet</v>
      </c>
      <c s="72" t="str">
        <f>IF('[1]Leakage Tree Data'!B113&lt;&gt;"",'[1]Leakage Tree Data'!B113,"")</f>
        <v>Total US - Internet</v>
      </c>
      <c s="72">
        <f>IF('[1]Leakage Tree Data'!C113&lt;&gt;"",'[1]Leakage Tree Data'!C113,"")</f>
        <v>121171760.292236</v>
      </c>
      <c s="72">
        <f>IF('[1]Leakage Tree Data'!D113&lt;&gt;"",'[1]Leakage Tree Data'!D113,"")</f>
        <v>51988929.3051758</v>
      </c>
      <c s="72">
        <f>IF('[1]Leakage Tree Data'!E113&lt;&gt;"",'[1]Leakage Tree Data'!E113,"")</f>
        <v>42.9051531312175</v>
      </c>
      <c s="72">
        <f>IF('[1]Leakage Tree Data'!F113&lt;&gt;"",'[1]Leakage Tree Data'!F113,"")</f>
        <v>69182830.9870605</v>
      </c>
      <c s="72">
        <f>IF('[1]Leakage Tree Data'!G113&lt;&gt;"",'[1]Leakage Tree Data'!G113,"")</f>
        <v>57.0948468687825</v>
      </c>
      <c s="72">
        <f>IF('[1]Leakage Tree Data'!H113&lt;&gt;"",'[1]Leakage Tree Data'!H113,"")</f>
        <v>61518209.9918823</v>
      </c>
      <c s="72" t="str">
        <f>IF('[1]Leakage Tree Data'!I113&lt;&gt;"",'[1]Leakage Tree Data'!I113,"")</f>
        <v>Internet</v>
      </c>
      <c s="72">
        <f>IF('[1]Leakage Tree Data'!J113&lt;&gt;"",'[1]Leakage Tree Data'!J113,"")</f>
        <v>96.8410457782643</v>
      </c>
      <c s="72">
        <f>IF('[1]Leakage Tree Data'!K113&lt;&gt;"",'[1]Leakage Tree Data'!K113,"")</f>
        <v>1943332.0916748</v>
      </c>
      <c s="72">
        <f>IF('[1]Leakage Tree Data'!L113&lt;&gt;"",'[1]Leakage Tree Data'!L113,"")</f>
        <v>4964319.86269379</v>
      </c>
      <c s="72">
        <f>IF('[1]Leakage Tree Data'!M113&lt;&gt;"",'[1]Leakage Tree Data'!M113,"")</f>
        <v>16404380.9024658</v>
      </c>
      <c s="72">
        <f>IF('[1]Leakage Tree Data'!N113&lt;&gt;"",'[1]Leakage Tree Data'!N113,"")</f>
        <v>4964319.86269379</v>
      </c>
      <c s="72">
        <f>IF('[1]Leakage Tree Data'!O113&lt;&gt;"",'[1]Leakage Tree Data'!O113,"")</f>
        <v>8.14687812329208</v>
      </c>
      <c s="72">
        <f>IF('[1]Leakage Tree Data'!P113&lt;&gt;"",'[1]Leakage Tree Data'!P113,"")</f>
        <v>11077798.9486787</v>
      </c>
      <c s="72">
        <f>IF('[1]Leakage Tree Data'!Q113&lt;&gt;"",'[1]Leakage Tree Data'!Q113,"")</f>
      </c>
      <c s="72">
        <f>IF('[1]Leakage Tree Data'!R113&lt;&gt;"",'[1]Leakage Tree Data'!R113,"")</f>
        <v>1017625.85098267</v>
      </c>
      <c s="72">
        <f>IF('[1]Leakage Tree Data'!S113&lt;&gt;"",'[1]Leakage Tree Data'!S113,"")</f>
        <v>-1517598.31466675</v>
      </c>
      <c s="72">
        <f>IF('[1]Leakage Tree Data'!T113&lt;&gt;"",'[1]Leakage Tree Data'!T113,"")</f>
        <v>-1.62642114099634</v>
      </c>
      <c s="72">
        <f>IF('[1]Leakage Tree Data'!U113&lt;&gt;"",'[1]Leakage Tree Data'!U113,"")</f>
        <v>2535224.16564941</v>
      </c>
      <c s="72">
        <f>IF('[1]Leakage Tree Data'!V113&lt;&gt;"",'[1]Leakage Tree Data'!V113,"")</f>
        <v>1.62642114099634</v>
      </c>
      <c s="72">
        <f>IF('[1]Leakage Tree Data'!W113&lt;&gt;"",'[1]Leakage Tree Data'!W113,"")</f>
        <v>-1855949.2237854</v>
      </c>
      <c s="72">
        <f>IF('[1]Leakage Tree Data'!X113&lt;&gt;"",'[1]Leakage Tree Data'!X113,"")</f>
      </c>
      <c s="72">
        <f>IF('[1]Leakage Tree Data'!Y113&lt;&gt;"",'[1]Leakage Tree Data'!Y113,"")</f>
        <v>0.397079319547444</v>
      </c>
      <c s="72">
        <f>IF('[1]Leakage Tree Data'!Z113&lt;&gt;"",'[1]Leakage Tree Data'!Z113,"")</f>
        <v>-310274.266540527</v>
      </c>
      <c s="72">
        <f>IF('[1]Leakage Tree Data'!AA113&lt;&gt;"",'[1]Leakage Tree Data'!AA113,"")</f>
        <v>-3024941.33929157</v>
      </c>
      <c s="72">
        <f>IF('[1]Leakage Tree Data'!AB113&lt;&gt;"",'[1]Leakage Tree Data'!AB113,"")</f>
        <v>-162626.000286102</v>
      </c>
      <c s="72">
        <f>IF('[1]Leakage Tree Data'!AC113&lt;&gt;"",'[1]Leakage Tree Data'!AC113,"")</f>
        <v>-3024941.33929157</v>
      </c>
      <c s="72">
        <f>IF('[1]Leakage Tree Data'!AD113&lt;&gt;"",'[1]Leakage Tree Data'!AD113,"")</f>
        <v>-0.495130944198594</v>
      </c>
      <c s="72">
        <f>IF('[1]Leakage Tree Data'!AE113&lt;&gt;"",'[1]Leakage Tree Data'!AE113,"")</f>
      </c>
      <c s="73">
        <f t="shared" si="98"/>
        <v>16404380.9024658</v>
      </c>
      <c s="73">
        <f t="shared" si="99"/>
        <v>4964319.86269379</v>
      </c>
      <c s="73">
        <f t="shared" si="100"/>
        <v>-162626.000286102</v>
      </c>
      <c s="73">
        <f t="shared" si="101"/>
        <v>-3024941.33929157</v>
      </c>
      <c s="74">
        <f t="shared" si="108"/>
        <v>0.000333462556147432</v>
      </c>
      <c s="74">
        <f t="shared" si="109"/>
        <v>-0.00217715504627067</v>
      </c>
      <c s="69" t="str">
        <f t="shared" si="55"/>
        <v>Total US - Internet</v>
      </c>
      <c s="69" t="str">
        <f t="shared" si="56"/>
        <v>Total US - Internet</v>
      </c>
      <c s="77"/>
    </row>
    <row r="215" spans="1:141" s="92" customFormat="1" ht="15">
      <c r="A21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 t="shared" si="86"/>
      </c>
      <c s="76">
        <f t="shared" si="87"/>
      </c>
      <c s="75">
        <f t="shared" si="102"/>
      </c>
      <c s="76">
        <f t="shared" si="88"/>
      </c>
      <c s="75">
        <f t="shared" si="103"/>
      </c>
      <c s="76">
        <f t="shared" si="89"/>
      </c>
      <c s="75">
        <f t="shared" si="104"/>
      </c>
      <c s="76">
        <f t="shared" si="90"/>
      </c>
      <c s="75">
        <f t="shared" si="84"/>
        <v>1109541.55459595</v>
      </c>
      <c s="76">
        <f t="shared" si="91"/>
        <v>14</v>
      </c>
      <c s="75">
        <f t="shared" si="92"/>
      </c>
      <c s="76">
        <f t="shared" si="93"/>
      </c>
      <c s="75">
        <f t="shared" si="105"/>
      </c>
      <c s="76">
        <f t="shared" si="94"/>
      </c>
      <c s="75">
        <f t="shared" si="106"/>
      </c>
      <c s="76">
        <f t="shared" si="95"/>
      </c>
      <c s="75">
        <f t="shared" si="107"/>
      </c>
      <c s="76">
        <f t="shared" si="96"/>
      </c>
      <c s="75">
        <f t="shared" si="85"/>
        <v>2192154.20335388</v>
      </c>
      <c s="76">
        <f t="shared" si="97"/>
        <v>16</v>
      </c>
      <c s="65" t="str">
        <f t="shared" si="75"/>
        <v>Amazon.com</v>
      </c>
      <c s="65" t="str">
        <f t="shared" si="76"/>
        <v>Internet</v>
      </c>
      <c s="72" t="str">
        <f>IF('[1]Leakage Tree Data'!A114&lt;&gt;"",'[1]Leakage Tree Data'!A114,"")</f>
        <v>Total US - Amazon.com</v>
      </c>
      <c s="72" t="str">
        <f>IF('[1]Leakage Tree Data'!B114&lt;&gt;"",'[1]Leakage Tree Data'!B114,"")</f>
        <v>Total US - Internet</v>
      </c>
      <c s="72">
        <f>IF('[1]Leakage Tree Data'!C114&lt;&gt;"",'[1]Leakage Tree Data'!C114,"")</f>
        <v>121171760.292236</v>
      </c>
      <c s="72">
        <f>IF('[1]Leakage Tree Data'!D114&lt;&gt;"",'[1]Leakage Tree Data'!D114,"")</f>
        <v>23825052.065155</v>
      </c>
      <c s="72">
        <f>IF('[1]Leakage Tree Data'!E114&lt;&gt;"",'[1]Leakage Tree Data'!E114,"")</f>
        <v>19.6622150307092</v>
      </c>
      <c s="72">
        <f>IF('[1]Leakage Tree Data'!F114&lt;&gt;"",'[1]Leakage Tree Data'!F114,"")</f>
        <v>97346708.2270813</v>
      </c>
      <c s="72">
        <f>IF('[1]Leakage Tree Data'!G114&lt;&gt;"",'[1]Leakage Tree Data'!G114,"")</f>
        <v>80.3377849692908</v>
      </c>
      <c s="72">
        <f>IF('[1]Leakage Tree Data'!H114&lt;&gt;"",'[1]Leakage Tree Data'!H114,"")</f>
        <v>61518209.9918823</v>
      </c>
      <c s="72" t="str">
        <f>IF('[1]Leakage Tree Data'!I114&lt;&gt;"",'[1]Leakage Tree Data'!I114,"")</f>
        <v>Internet</v>
      </c>
      <c s="72">
        <f>IF('[1]Leakage Tree Data'!J114&lt;&gt;"",'[1]Leakage Tree Data'!J114,"")</f>
        <v>99.1895983146104</v>
      </c>
      <c s="72">
        <f>IF('[1]Leakage Tree Data'!K114&lt;&gt;"",'[1]Leakage Tree Data'!K114,"")</f>
        <v>498544.610595703</v>
      </c>
      <c s="72">
        <f>IF('[1]Leakage Tree Data'!L114&lt;&gt;"",'[1]Leakage Tree Data'!L114,"")</f>
        <v>1109541.55459595</v>
      </c>
      <c s="72">
        <f>IF('[1]Leakage Tree Data'!M114&lt;&gt;"",'[1]Leakage Tree Data'!M114,"")</f>
        <v>2192154.20335388</v>
      </c>
      <c s="72">
        <f>IF('[1]Leakage Tree Data'!N114&lt;&gt;"",'[1]Leakage Tree Data'!N114,"")</f>
        <v>1109541.55459595</v>
      </c>
      <c s="72">
        <f>IF('[1]Leakage Tree Data'!O114&lt;&gt;"",'[1]Leakage Tree Data'!O114,"")</f>
        <v>3.5335344197252</v>
      </c>
      <c s="72">
        <f>IF('[1]Leakage Tree Data'!P114&lt;&gt;"",'[1]Leakage Tree Data'!P114,"")</f>
        <v>5276905.48461712</v>
      </c>
      <c s="72">
        <f>IF('[1]Leakage Tree Data'!Q114&lt;&gt;"",'[1]Leakage Tree Data'!Q114,"")</f>
      </c>
      <c s="72">
        <f>IF('[1]Leakage Tree Data'!R114&lt;&gt;"",'[1]Leakage Tree Data'!R114,"")</f>
        <v>1017625.85098267</v>
      </c>
      <c s="72">
        <f>IF('[1]Leakage Tree Data'!S114&lt;&gt;"",'[1]Leakage Tree Data'!S114,"")</f>
        <v>575329.030944824</v>
      </c>
      <c s="72">
        <f>IF('[1]Leakage Tree Data'!T114&lt;&gt;"",'[1]Leakage Tree Data'!T114,"")</f>
        <v>0.312299905168885</v>
      </c>
      <c s="72">
        <f>IF('[1]Leakage Tree Data'!U114&lt;&gt;"",'[1]Leakage Tree Data'!U114,"")</f>
        <v>442296.820037842</v>
      </c>
      <c s="72">
        <f>IF('[1]Leakage Tree Data'!V114&lt;&gt;"",'[1]Leakage Tree Data'!V114,"")</f>
        <v>-0.312299905168885</v>
      </c>
      <c s="72">
        <f>IF('[1]Leakage Tree Data'!W114&lt;&gt;"",'[1]Leakage Tree Data'!W114,"")</f>
        <v>-1855949.2237854</v>
      </c>
      <c s="72">
        <f>IF('[1]Leakage Tree Data'!X114&lt;&gt;"",'[1]Leakage Tree Data'!X114,"")</f>
      </c>
      <c s="72">
        <f>IF('[1]Leakage Tree Data'!Y114&lt;&gt;"",'[1]Leakage Tree Data'!Y114,"")</f>
        <v>-0.209803800906698</v>
      </c>
      <c s="72">
        <f>IF('[1]Leakage Tree Data'!Z114&lt;&gt;"",'[1]Leakage Tree Data'!Z114,"")</f>
        <v>117920.751037598</v>
      </c>
      <c s="72">
        <f>IF('[1]Leakage Tree Data'!AA114&lt;&gt;"",'[1]Leakage Tree Data'!AA114,"")</f>
        <v>442101.740393639</v>
      </c>
      <c s="72">
        <f>IF('[1]Leakage Tree Data'!AB114&lt;&gt;"",'[1]Leakage Tree Data'!AB114,"")</f>
        <v>955950.780567169</v>
      </c>
      <c s="72">
        <f>IF('[1]Leakage Tree Data'!AC114&lt;&gt;"",'[1]Leakage Tree Data'!AC114,"")</f>
        <v>442101.740393639</v>
      </c>
      <c s="72">
        <f>IF('[1]Leakage Tree Data'!AD114&lt;&gt;"",'[1]Leakage Tree Data'!AD114,"")</f>
        <v>0.616845628747808</v>
      </c>
      <c s="72">
        <f>IF('[1]Leakage Tree Data'!AE114&lt;&gt;"",'[1]Leakage Tree Data'!AE114,"")</f>
      </c>
      <c s="73">
        <f t="shared" si="98"/>
      </c>
      <c s="73">
        <f t="shared" si="99"/>
      </c>
      <c s="73">
        <f t="shared" si="100"/>
      </c>
      <c s="73">
        <f t="shared" si="101"/>
      </c>
      <c s="74">
        <f t="shared" si="108"/>
      </c>
      <c s="74">
        <f t="shared" si="109"/>
      </c>
      <c s="69" t="str">
        <f t="shared" si="55"/>
        <v>Total US - Amazon.com</v>
      </c>
      <c s="69" t="str">
        <f t="shared" si="56"/>
        <v>Total US - Internet</v>
      </c>
      <c s="77"/>
    </row>
    <row r="216" spans="1:141" s="92" customFormat="1" ht="15">
      <c r="A21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 t="shared" si="86"/>
      </c>
      <c s="76">
        <f t="shared" si="87"/>
      </c>
      <c s="75">
        <f t="shared" si="102"/>
      </c>
      <c s="76">
        <f t="shared" si="88"/>
      </c>
      <c s="75">
        <f t="shared" si="103"/>
      </c>
      <c s="76">
        <f t="shared" si="89"/>
      </c>
      <c s="75">
        <f t="shared" si="104"/>
      </c>
      <c s="76">
        <f t="shared" si="90"/>
      </c>
      <c s="75">
        <f t="shared" si="84"/>
      </c>
      <c s="76">
        <f t="shared" si="91"/>
      </c>
      <c s="75">
        <f t="shared" si="92"/>
      </c>
      <c s="76">
        <f t="shared" si="93"/>
      </c>
      <c s="75">
        <f t="shared" si="105"/>
      </c>
      <c s="76">
        <f t="shared" si="94"/>
      </c>
      <c s="75">
        <f t="shared" si="106"/>
      </c>
      <c s="76">
        <f t="shared" si="95"/>
      </c>
      <c s="75">
        <f t="shared" si="107"/>
      </c>
      <c s="76">
        <f t="shared" si="96"/>
      </c>
      <c s="75">
        <f t="shared" si="85"/>
      </c>
      <c s="76">
        <f t="shared" si="97"/>
      </c>
      <c s="65" t="str">
        <f t="shared" si="75"/>
        <v>Amazonfresh.com</v>
      </c>
      <c s="65" t="str">
        <f t="shared" si="76"/>
        <v>Internet</v>
      </c>
      <c s="72" t="str">
        <f>IF('[1]Leakage Tree Data'!A115&lt;&gt;"",'[1]Leakage Tree Data'!A115,"")</f>
        <v>Total US - Amazonfresh.com</v>
      </c>
      <c s="72" t="str">
        <f>IF('[1]Leakage Tree Data'!B115&lt;&gt;"",'[1]Leakage Tree Data'!B115,"")</f>
        <v>Total US - Internet</v>
      </c>
      <c s="72">
        <f>IF('[1]Leakage Tree Data'!C115&lt;&gt;"",'[1]Leakage Tree Data'!C115,"")</f>
        <v>121171760.292236</v>
      </c>
      <c s="72">
        <f>IF('[1]Leakage Tree Data'!D115&lt;&gt;"",'[1]Leakage Tree Data'!D115,"")</f>
        <v>204272.88861084</v>
      </c>
      <c s="72">
        <f>IF('[1]Leakage Tree Data'!E115&lt;&gt;"",'[1]Leakage Tree Data'!E115,"")</f>
        <v>0.16858126688775</v>
      </c>
      <c s="72">
        <f>IF('[1]Leakage Tree Data'!F115&lt;&gt;"",'[1]Leakage Tree Data'!F115,"")</f>
        <v>120967487.403625</v>
      </c>
      <c s="72">
        <f>IF('[1]Leakage Tree Data'!G115&lt;&gt;"",'[1]Leakage Tree Data'!G115,"")</f>
        <v>99.8314187331122</v>
      </c>
      <c s="72">
        <f>IF('[1]Leakage Tree Data'!H115&lt;&gt;"",'[1]Leakage Tree Data'!H115,"")</f>
        <v>61518209.9918823</v>
      </c>
      <c s="72" t="str">
        <f>IF('[1]Leakage Tree Data'!I115&lt;&gt;"",'[1]Leakage Tree Data'!I115,"")</f>
        <v>Internet</v>
      </c>
      <c s="72">
        <f>IF('[1]Leakage Tree Data'!J115&lt;&gt;"",'[1]Leakage Tree Data'!J115,"")</f>
      </c>
      <c s="72">
        <f>IF('[1]Leakage Tree Data'!K115&lt;&gt;"",'[1]Leakage Tree Data'!K115,"")</f>
      </c>
      <c s="72">
        <f>IF('[1]Leakage Tree Data'!L115&lt;&gt;"",'[1]Leakage Tree Data'!L115,"")</f>
      </c>
      <c s="72">
        <f>IF('[1]Leakage Tree Data'!M115&lt;&gt;"",'[1]Leakage Tree Data'!M115,"")</f>
      </c>
      <c s="72">
        <f>IF('[1]Leakage Tree Data'!N115&lt;&gt;"",'[1]Leakage Tree Data'!N115,"")</f>
      </c>
      <c s="72">
        <f>IF('[1]Leakage Tree Data'!O115&lt;&gt;"",'[1]Leakage Tree Data'!O115,"")</f>
      </c>
      <c s="72">
        <f>IF('[1]Leakage Tree Data'!P115&lt;&gt;"",'[1]Leakage Tree Data'!P115,"")</f>
      </c>
      <c s="72">
        <f>IF('[1]Leakage Tree Data'!Q115&lt;&gt;"",'[1]Leakage Tree Data'!Q115,"")</f>
      </c>
      <c s="72">
        <f>IF('[1]Leakage Tree Data'!R115&lt;&gt;"",'[1]Leakage Tree Data'!R115,"")</f>
        <v>1017625.85098267</v>
      </c>
      <c s="72">
        <f>IF('[1]Leakage Tree Data'!S115&lt;&gt;"",'[1]Leakage Tree Data'!S115,"")</f>
        <v>38151.5478515625</v>
      </c>
      <c s="72">
        <f>IF('[1]Leakage Tree Data'!T115&lt;&gt;"",'[1]Leakage Tree Data'!T115,"")</f>
        <v>0.0303244007950581</v>
      </c>
      <c s="72">
        <f>IF('[1]Leakage Tree Data'!U115&lt;&gt;"",'[1]Leakage Tree Data'!U115,"")</f>
        <v>979474.303131104</v>
      </c>
      <c s="72">
        <f>IF('[1]Leakage Tree Data'!V115&lt;&gt;"",'[1]Leakage Tree Data'!V115,"")</f>
        <v>-0.0303244007950667</v>
      </c>
      <c s="72">
        <f>IF('[1]Leakage Tree Data'!W115&lt;&gt;"",'[1]Leakage Tree Data'!W115,"")</f>
        <v>-1855949.2237854</v>
      </c>
      <c s="72">
        <f>IF('[1]Leakage Tree Data'!X115&lt;&gt;"",'[1]Leakage Tree Data'!X115,"")</f>
      </c>
      <c s="72">
        <f>IF('[1]Leakage Tree Data'!Y115&lt;&gt;"",'[1]Leakage Tree Data'!Y115,"")</f>
      </c>
      <c s="72">
        <f>IF('[1]Leakage Tree Data'!Z115&lt;&gt;"",'[1]Leakage Tree Data'!Z115,"")</f>
      </c>
      <c s="72">
        <f>IF('[1]Leakage Tree Data'!AA115&lt;&gt;"",'[1]Leakage Tree Data'!AA115,"")</f>
      </c>
      <c s="72">
        <f>IF('[1]Leakage Tree Data'!AB115&lt;&gt;"",'[1]Leakage Tree Data'!AB115,"")</f>
      </c>
      <c s="72">
        <f>IF('[1]Leakage Tree Data'!AC115&lt;&gt;"",'[1]Leakage Tree Data'!AC115,"")</f>
      </c>
      <c s="72">
        <f>IF('[1]Leakage Tree Data'!AD115&lt;&gt;"",'[1]Leakage Tree Data'!AD115,"")</f>
      </c>
      <c s="72">
        <f>IF('[1]Leakage Tree Data'!AE115&lt;&gt;"",'[1]Leakage Tree Data'!AE115,"")</f>
      </c>
      <c s="73">
        <f t="shared" si="98"/>
      </c>
      <c s="73">
        <f t="shared" si="99"/>
      </c>
      <c s="73">
        <f t="shared" si="100"/>
      </c>
      <c s="73">
        <f t="shared" si="101"/>
      </c>
      <c s="74">
        <f t="shared" si="108"/>
      </c>
      <c s="74">
        <f t="shared" si="109"/>
      </c>
      <c s="69" t="str">
        <f t="shared" si="55"/>
        <v>Total US - Amazonfresh.com</v>
      </c>
      <c s="69" t="str">
        <f t="shared" si="56"/>
        <v>Total US - Internet</v>
      </c>
      <c s="77"/>
    </row>
    <row r="217" spans="1:141" s="92" customFormat="1" ht="15">
      <c r="A21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 t="shared" si="86"/>
      </c>
      <c s="76">
        <f t="shared" si="87"/>
      </c>
      <c s="75">
        <f t="shared" si="102"/>
      </c>
      <c s="76">
        <f t="shared" si="88"/>
      </c>
      <c s="75">
        <f t="shared" si="103"/>
      </c>
      <c s="76">
        <f t="shared" si="89"/>
      </c>
      <c s="75">
        <f t="shared" si="104"/>
      </c>
      <c s="76">
        <f t="shared" si="90"/>
      </c>
      <c s="75">
        <f t="shared" si="84"/>
      </c>
      <c s="76">
        <f t="shared" si="91"/>
      </c>
      <c s="75">
        <f t="shared" si="92"/>
      </c>
      <c s="76">
        <f t="shared" si="93"/>
      </c>
      <c s="75">
        <f t="shared" si="105"/>
      </c>
      <c s="76">
        <f t="shared" si="94"/>
      </c>
      <c s="75">
        <f t="shared" si="106"/>
      </c>
      <c s="76">
        <f t="shared" si="95"/>
      </c>
      <c s="75">
        <f t="shared" si="107"/>
      </c>
      <c s="76">
        <f t="shared" si="96"/>
      </c>
      <c s="75">
        <f t="shared" si="85"/>
      </c>
      <c s="76">
        <f t="shared" si="97"/>
      </c>
      <c s="65" t="str">
        <f t="shared" si="75"/>
        <v>Barnesnoble.com</v>
      </c>
      <c s="65" t="str">
        <f t="shared" si="76"/>
        <v>Internet</v>
      </c>
      <c s="72" t="str">
        <f>IF('[1]Leakage Tree Data'!A116&lt;&gt;"",'[1]Leakage Tree Data'!A116,"")</f>
        <v>Total US - Barnesnoble.com</v>
      </c>
      <c s="72" t="str">
        <f>IF('[1]Leakage Tree Data'!B116&lt;&gt;"",'[1]Leakage Tree Data'!B116,"")</f>
        <v>Total US - Internet</v>
      </c>
      <c s="72">
        <f>IF('[1]Leakage Tree Data'!C116&lt;&gt;"",'[1]Leakage Tree Data'!C116,"")</f>
        <v>121171760.292236</v>
      </c>
      <c s="72">
        <f>IF('[1]Leakage Tree Data'!D116&lt;&gt;"",'[1]Leakage Tree Data'!D116,"")</f>
        <v>1028810.84231567</v>
      </c>
      <c s="72">
        <f>IF('[1]Leakage Tree Data'!E116&lt;&gt;"",'[1]Leakage Tree Data'!E116,"")</f>
        <v>0.849051660085185</v>
      </c>
      <c s="72">
        <f>IF('[1]Leakage Tree Data'!F116&lt;&gt;"",'[1]Leakage Tree Data'!F116,"")</f>
        <v>120142949.449921</v>
      </c>
      <c s="72">
        <f>IF('[1]Leakage Tree Data'!G116&lt;&gt;"",'[1]Leakage Tree Data'!G116,"")</f>
        <v>99.1509483399148</v>
      </c>
      <c s="72">
        <f>IF('[1]Leakage Tree Data'!H116&lt;&gt;"",'[1]Leakage Tree Data'!H116,"")</f>
        <v>61518209.9918823</v>
      </c>
      <c s="72" t="str">
        <f>IF('[1]Leakage Tree Data'!I116&lt;&gt;"",'[1]Leakage Tree Data'!I116,"")</f>
        <v>Internet</v>
      </c>
      <c s="72">
        <f>IF('[1]Leakage Tree Data'!J116&lt;&gt;"",'[1]Leakage Tree Data'!J116,"")</f>
      </c>
      <c s="72">
        <f>IF('[1]Leakage Tree Data'!K116&lt;&gt;"",'[1]Leakage Tree Data'!K116,"")</f>
      </c>
      <c s="72">
        <f>IF('[1]Leakage Tree Data'!L116&lt;&gt;"",'[1]Leakage Tree Data'!L116,"")</f>
      </c>
      <c s="72">
        <f>IF('[1]Leakage Tree Data'!M116&lt;&gt;"",'[1]Leakage Tree Data'!M116,"")</f>
      </c>
      <c s="72">
        <f>IF('[1]Leakage Tree Data'!N116&lt;&gt;"",'[1]Leakage Tree Data'!N116,"")</f>
      </c>
      <c s="72">
        <f>IF('[1]Leakage Tree Data'!O116&lt;&gt;"",'[1]Leakage Tree Data'!O116,"")</f>
      </c>
      <c s="72">
        <f>IF('[1]Leakage Tree Data'!P116&lt;&gt;"",'[1]Leakage Tree Data'!P116,"")</f>
      </c>
      <c s="72">
        <f>IF('[1]Leakage Tree Data'!Q116&lt;&gt;"",'[1]Leakage Tree Data'!Q116,"")</f>
      </c>
      <c s="72">
        <f>IF('[1]Leakage Tree Data'!R116&lt;&gt;"",'[1]Leakage Tree Data'!R116,"")</f>
        <v>1017625.85098267</v>
      </c>
      <c s="72">
        <f>IF('[1]Leakage Tree Data'!S116&lt;&gt;"",'[1]Leakage Tree Data'!S116,"")</f>
        <v>-241663.597015381</v>
      </c>
      <c s="72">
        <f>IF('[1]Leakage Tree Data'!T116&lt;&gt;"",'[1]Leakage Tree Data'!T116,"")</f>
        <v>-0.208318895858706</v>
      </c>
      <c s="72">
        <f>IF('[1]Leakage Tree Data'!U116&lt;&gt;"",'[1]Leakage Tree Data'!U116,"")</f>
        <v>1259289.44799805</v>
      </c>
      <c s="72">
        <f>IF('[1]Leakage Tree Data'!V116&lt;&gt;"",'[1]Leakage Tree Data'!V116,"")</f>
        <v>0.20831889585871</v>
      </c>
      <c s="72">
        <f>IF('[1]Leakage Tree Data'!W116&lt;&gt;"",'[1]Leakage Tree Data'!W116,"")</f>
        <v>-1855949.2237854</v>
      </c>
      <c s="72">
        <f>IF('[1]Leakage Tree Data'!X116&lt;&gt;"",'[1]Leakage Tree Data'!X116,"")</f>
      </c>
      <c s="72">
        <f>IF('[1]Leakage Tree Data'!Y116&lt;&gt;"",'[1]Leakage Tree Data'!Y116,"")</f>
      </c>
      <c s="72">
        <f>IF('[1]Leakage Tree Data'!Z116&lt;&gt;"",'[1]Leakage Tree Data'!Z116,"")</f>
      </c>
      <c s="72">
        <f>IF('[1]Leakage Tree Data'!AA116&lt;&gt;"",'[1]Leakage Tree Data'!AA116,"")</f>
      </c>
      <c s="72">
        <f>IF('[1]Leakage Tree Data'!AB116&lt;&gt;"",'[1]Leakage Tree Data'!AB116,"")</f>
      </c>
      <c s="72">
        <f>IF('[1]Leakage Tree Data'!AC116&lt;&gt;"",'[1]Leakage Tree Data'!AC116,"")</f>
      </c>
      <c s="72">
        <f>IF('[1]Leakage Tree Data'!AD116&lt;&gt;"",'[1]Leakage Tree Data'!AD116,"")</f>
      </c>
      <c s="72">
        <f>IF('[1]Leakage Tree Data'!AE116&lt;&gt;"",'[1]Leakage Tree Data'!AE116,"")</f>
      </c>
      <c s="73">
        <f t="shared" si="98"/>
      </c>
      <c s="73">
        <f t="shared" si="99"/>
      </c>
      <c s="73">
        <f t="shared" si="100"/>
      </c>
      <c s="73">
        <f t="shared" si="101"/>
      </c>
      <c s="74">
        <f t="shared" si="108"/>
      </c>
      <c s="74">
        <f t="shared" si="109"/>
      </c>
      <c s="69" t="str">
        <f t="shared" si="55"/>
        <v>Total US - Barnesnoble.com</v>
      </c>
      <c s="69" t="str">
        <f t="shared" si="56"/>
        <v>Total US - Internet</v>
      </c>
      <c s="77"/>
    </row>
    <row r="218" spans="1:141" s="92" customFormat="1" ht="15">
      <c r="A21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 t="shared" si="86"/>
      </c>
      <c s="76">
        <f t="shared" si="87"/>
      </c>
      <c s="75">
        <f t="shared" si="102"/>
      </c>
      <c s="76">
        <f t="shared" si="88"/>
      </c>
      <c s="75">
        <f t="shared" si="103"/>
      </c>
      <c s="76">
        <f t="shared" si="89"/>
      </c>
      <c s="75">
        <f t="shared" si="104"/>
      </c>
      <c s="76">
        <f t="shared" si="90"/>
      </c>
      <c s="75">
        <f t="shared" si="84"/>
      </c>
      <c s="76">
        <f t="shared" si="91"/>
      </c>
      <c s="75">
        <f t="shared" si="92"/>
      </c>
      <c s="76">
        <f t="shared" si="93"/>
      </c>
      <c s="75">
        <f t="shared" si="105"/>
      </c>
      <c s="76">
        <f t="shared" si="94"/>
      </c>
      <c s="75">
        <f t="shared" si="106"/>
      </c>
      <c s="76">
        <f t="shared" si="95"/>
      </c>
      <c s="75">
        <f t="shared" si="107"/>
      </c>
      <c s="76">
        <f t="shared" si="96"/>
      </c>
      <c s="75">
        <f t="shared" si="85"/>
      </c>
      <c s="76">
        <f t="shared" si="97"/>
      </c>
      <c s="65" t="str">
        <f t="shared" si="75"/>
        <v>Bestbuy.com</v>
      </c>
      <c s="65" t="str">
        <f t="shared" si="76"/>
        <v>Internet</v>
      </c>
      <c s="72" t="str">
        <f>IF('[1]Leakage Tree Data'!A117&lt;&gt;"",'[1]Leakage Tree Data'!A117,"")</f>
        <v>Total US - Bestbuy.com</v>
      </c>
      <c s="72" t="str">
        <f>IF('[1]Leakage Tree Data'!B117&lt;&gt;"",'[1]Leakage Tree Data'!B117,"")</f>
        <v>Total US - Internet</v>
      </c>
      <c s="72">
        <f>IF('[1]Leakage Tree Data'!C117&lt;&gt;"",'[1]Leakage Tree Data'!C117,"")</f>
        <v>121171760.292236</v>
      </c>
      <c s="72">
        <f>IF('[1]Leakage Tree Data'!D117&lt;&gt;"",'[1]Leakage Tree Data'!D117,"")</f>
        <v>2747422.6835022</v>
      </c>
      <c s="72">
        <f>IF('[1]Leakage Tree Data'!E117&lt;&gt;"",'[1]Leakage Tree Data'!E117,"")</f>
        <v>2.26737870018236</v>
      </c>
      <c s="72">
        <f>IF('[1]Leakage Tree Data'!F117&lt;&gt;"",'[1]Leakage Tree Data'!F117,"")</f>
        <v>118424337.608734</v>
      </c>
      <c s="72">
        <f>IF('[1]Leakage Tree Data'!G117&lt;&gt;"",'[1]Leakage Tree Data'!G117,"")</f>
        <v>97.7326212998176</v>
      </c>
      <c s="72">
        <f>IF('[1]Leakage Tree Data'!H117&lt;&gt;"",'[1]Leakage Tree Data'!H117,"")</f>
        <v>61518209.9918823</v>
      </c>
      <c s="72" t="str">
        <f>IF('[1]Leakage Tree Data'!I117&lt;&gt;"",'[1]Leakage Tree Data'!I117,"")</f>
        <v>Internet</v>
      </c>
      <c s="72">
        <f>IF('[1]Leakage Tree Data'!J117&lt;&gt;"",'[1]Leakage Tree Data'!J117,"")</f>
      </c>
      <c s="72">
        <f>IF('[1]Leakage Tree Data'!K117&lt;&gt;"",'[1]Leakage Tree Data'!K117,"")</f>
      </c>
      <c s="72">
        <f>IF('[1]Leakage Tree Data'!L117&lt;&gt;"",'[1]Leakage Tree Data'!L117,"")</f>
      </c>
      <c s="72">
        <f>IF('[1]Leakage Tree Data'!M117&lt;&gt;"",'[1]Leakage Tree Data'!M117,"")</f>
      </c>
      <c s="72">
        <f>IF('[1]Leakage Tree Data'!N117&lt;&gt;"",'[1]Leakage Tree Data'!N117,"")</f>
      </c>
      <c s="72">
        <f>IF('[1]Leakage Tree Data'!O117&lt;&gt;"",'[1]Leakage Tree Data'!O117,"")</f>
      </c>
      <c s="72">
        <f>IF('[1]Leakage Tree Data'!P117&lt;&gt;"",'[1]Leakage Tree Data'!P117,"")</f>
      </c>
      <c s="72">
        <f>IF('[1]Leakage Tree Data'!Q117&lt;&gt;"",'[1]Leakage Tree Data'!Q117,"")</f>
      </c>
      <c s="72">
        <f>IF('[1]Leakage Tree Data'!R117&lt;&gt;"",'[1]Leakage Tree Data'!R117,"")</f>
        <v>1017625.85098267</v>
      </c>
      <c s="72">
        <f>IF('[1]Leakage Tree Data'!S117&lt;&gt;"",'[1]Leakage Tree Data'!S117,"")</f>
        <v>31482.8312988281</v>
      </c>
      <c s="72">
        <f>IF('[1]Leakage Tree Data'!T117&lt;&gt;"",'[1]Leakage Tree Data'!T117,"")</f>
        <v>0.00699884323182332</v>
      </c>
      <c s="72">
        <f>IF('[1]Leakage Tree Data'!U117&lt;&gt;"",'[1]Leakage Tree Data'!U117,"")</f>
        <v>986143.019683838</v>
      </c>
      <c s="72">
        <f>IF('[1]Leakage Tree Data'!V117&lt;&gt;"",'[1]Leakage Tree Data'!V117,"")</f>
        <v>-0.00699884323182687</v>
      </c>
      <c s="72">
        <f>IF('[1]Leakage Tree Data'!W117&lt;&gt;"",'[1]Leakage Tree Data'!W117,"")</f>
        <v>-1855949.2237854</v>
      </c>
      <c s="72">
        <f>IF('[1]Leakage Tree Data'!X117&lt;&gt;"",'[1]Leakage Tree Data'!X117,"")</f>
      </c>
      <c s="72">
        <f>IF('[1]Leakage Tree Data'!Y117&lt;&gt;"",'[1]Leakage Tree Data'!Y117,"")</f>
      </c>
      <c s="72">
        <f>IF('[1]Leakage Tree Data'!Z117&lt;&gt;"",'[1]Leakage Tree Data'!Z117,"")</f>
      </c>
      <c s="72">
        <f>IF('[1]Leakage Tree Data'!AA117&lt;&gt;"",'[1]Leakage Tree Data'!AA117,"")</f>
      </c>
      <c s="72">
        <f>IF('[1]Leakage Tree Data'!AB117&lt;&gt;"",'[1]Leakage Tree Data'!AB117,"")</f>
      </c>
      <c s="72">
        <f>IF('[1]Leakage Tree Data'!AC117&lt;&gt;"",'[1]Leakage Tree Data'!AC117,"")</f>
      </c>
      <c s="72">
        <f>IF('[1]Leakage Tree Data'!AD117&lt;&gt;"",'[1]Leakage Tree Data'!AD117,"")</f>
      </c>
      <c s="72">
        <f>IF('[1]Leakage Tree Data'!AE117&lt;&gt;"",'[1]Leakage Tree Data'!AE117,"")</f>
      </c>
      <c s="73">
        <f t="shared" si="98"/>
      </c>
      <c s="73">
        <f t="shared" si="99"/>
      </c>
      <c s="73">
        <f t="shared" si="100"/>
      </c>
      <c s="73">
        <f t="shared" si="101"/>
      </c>
      <c s="74">
        <f t="shared" si="108"/>
      </c>
      <c s="74">
        <f t="shared" si="109"/>
      </c>
      <c s="69" t="str">
        <f t="shared" si="55"/>
        <v>Total US - Bestbuy.com</v>
      </c>
      <c s="69" t="str">
        <f t="shared" si="56"/>
        <v>Total US - Internet</v>
      </c>
      <c s="77"/>
    </row>
    <row r="219" spans="1:141" s="92" customFormat="1" ht="15">
      <c r="A21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 t="shared" si="86"/>
      </c>
      <c s="76">
        <f t="shared" si="87"/>
      </c>
      <c s="75">
        <f t="shared" si="102"/>
      </c>
      <c s="76">
        <f t="shared" si="88"/>
      </c>
      <c s="75">
        <f t="shared" si="103"/>
      </c>
      <c s="76">
        <f t="shared" si="89"/>
      </c>
      <c s="75">
        <f t="shared" si="104"/>
      </c>
      <c s="76">
        <f t="shared" si="90"/>
      </c>
      <c s="75">
        <f t="shared" si="84"/>
      </c>
      <c s="76">
        <f t="shared" si="91"/>
      </c>
      <c s="75">
        <f t="shared" si="92"/>
      </c>
      <c s="76">
        <f t="shared" si="93"/>
      </c>
      <c s="75">
        <f t="shared" si="105"/>
      </c>
      <c s="76">
        <f t="shared" si="94"/>
      </c>
      <c s="75">
        <f t="shared" si="106"/>
      </c>
      <c s="76">
        <f t="shared" si="95"/>
      </c>
      <c s="75">
        <f t="shared" si="107"/>
      </c>
      <c s="76">
        <f t="shared" si="96"/>
      </c>
      <c s="75">
        <f t="shared" si="85"/>
      </c>
      <c s="76">
        <f t="shared" si="97"/>
      </c>
      <c s="65" t="str">
        <f t="shared" si="75"/>
        <v>Bjs.com</v>
      </c>
      <c s="65" t="str">
        <f t="shared" si="76"/>
        <v>Internet</v>
      </c>
      <c s="72" t="str">
        <f>IF('[1]Leakage Tree Data'!A118&lt;&gt;"",'[1]Leakage Tree Data'!A118,"")</f>
        <v>Total US - Bjs.com</v>
      </c>
      <c s="72" t="str">
        <f>IF('[1]Leakage Tree Data'!B118&lt;&gt;"",'[1]Leakage Tree Data'!B118,"")</f>
        <v>Total US - Internet</v>
      </c>
      <c s="72">
        <f>IF('[1]Leakage Tree Data'!C118&lt;&gt;"",'[1]Leakage Tree Data'!C118,"")</f>
        <v>121171760.292236</v>
      </c>
      <c s="72">
        <f>IF('[1]Leakage Tree Data'!D118&lt;&gt;"",'[1]Leakage Tree Data'!D118,"")</f>
        <v>433402.446533203</v>
      </c>
      <c s="72">
        <f>IF('[1]Leakage Tree Data'!E118&lt;&gt;"",'[1]Leakage Tree Data'!E118,"")</f>
        <v>0.357676116520833</v>
      </c>
      <c s="72">
        <f>IF('[1]Leakage Tree Data'!F118&lt;&gt;"",'[1]Leakage Tree Data'!F118,"")</f>
        <v>120738357.845703</v>
      </c>
      <c s="72">
        <f>IF('[1]Leakage Tree Data'!G118&lt;&gt;"",'[1]Leakage Tree Data'!G118,"")</f>
        <v>99.6423238834792</v>
      </c>
      <c s="72">
        <f>IF('[1]Leakage Tree Data'!H118&lt;&gt;"",'[1]Leakage Tree Data'!H118,"")</f>
        <v>61518209.9918823</v>
      </c>
      <c s="72" t="str">
        <f>IF('[1]Leakage Tree Data'!I118&lt;&gt;"",'[1]Leakage Tree Data'!I118,"")</f>
        <v>Internet</v>
      </c>
      <c s="72">
        <f>IF('[1]Leakage Tree Data'!J118&lt;&gt;"",'[1]Leakage Tree Data'!J118,"")</f>
      </c>
      <c s="72">
        <f>IF('[1]Leakage Tree Data'!K118&lt;&gt;"",'[1]Leakage Tree Data'!K118,"")</f>
      </c>
      <c s="72">
        <f>IF('[1]Leakage Tree Data'!L118&lt;&gt;"",'[1]Leakage Tree Data'!L118,"")</f>
      </c>
      <c s="72">
        <f>IF('[1]Leakage Tree Data'!M118&lt;&gt;"",'[1]Leakage Tree Data'!M118,"")</f>
      </c>
      <c s="72">
        <f>IF('[1]Leakage Tree Data'!N118&lt;&gt;"",'[1]Leakage Tree Data'!N118,"")</f>
      </c>
      <c s="72">
        <f>IF('[1]Leakage Tree Data'!O118&lt;&gt;"",'[1]Leakage Tree Data'!O118,"")</f>
      </c>
      <c s="72">
        <f>IF('[1]Leakage Tree Data'!P118&lt;&gt;"",'[1]Leakage Tree Data'!P118,"")</f>
      </c>
      <c s="72">
        <f>IF('[1]Leakage Tree Data'!Q118&lt;&gt;"",'[1]Leakage Tree Data'!Q118,"")</f>
      </c>
      <c s="72">
        <f>IF('[1]Leakage Tree Data'!R118&lt;&gt;"",'[1]Leakage Tree Data'!R118,"")</f>
        <v>1017625.85098267</v>
      </c>
      <c s="72">
        <f>IF('[1]Leakage Tree Data'!S118&lt;&gt;"",'[1]Leakage Tree Data'!S118,"")</f>
        <v>21118.7998046875</v>
      </c>
      <c s="72">
        <f>IF('[1]Leakage Tree Data'!T118&lt;&gt;"",'[1]Leakage Tree Data'!T118,"")</f>
        <v>0.0145471441839786</v>
      </c>
      <c s="72">
        <f>IF('[1]Leakage Tree Data'!U118&lt;&gt;"",'[1]Leakage Tree Data'!U118,"")</f>
        <v>996507.051177979</v>
      </c>
      <c s="72">
        <f>IF('[1]Leakage Tree Data'!V118&lt;&gt;"",'[1]Leakage Tree Data'!V118,"")</f>
        <v>-0.0145471441839788</v>
      </c>
      <c s="72">
        <f>IF('[1]Leakage Tree Data'!W118&lt;&gt;"",'[1]Leakage Tree Data'!W118,"")</f>
        <v>-1855949.2237854</v>
      </c>
      <c s="72">
        <f>IF('[1]Leakage Tree Data'!X118&lt;&gt;"",'[1]Leakage Tree Data'!X118,"")</f>
      </c>
      <c s="72">
        <f>IF('[1]Leakage Tree Data'!Y118&lt;&gt;"",'[1]Leakage Tree Data'!Y118,"")</f>
      </c>
      <c s="72">
        <f>IF('[1]Leakage Tree Data'!Z118&lt;&gt;"",'[1]Leakage Tree Data'!Z118,"")</f>
      </c>
      <c s="72">
        <f>IF('[1]Leakage Tree Data'!AA118&lt;&gt;"",'[1]Leakage Tree Data'!AA118,"")</f>
      </c>
      <c s="72">
        <f>IF('[1]Leakage Tree Data'!AB118&lt;&gt;"",'[1]Leakage Tree Data'!AB118,"")</f>
      </c>
      <c s="72">
        <f>IF('[1]Leakage Tree Data'!AC118&lt;&gt;"",'[1]Leakage Tree Data'!AC118,"")</f>
      </c>
      <c s="72">
        <f>IF('[1]Leakage Tree Data'!AD118&lt;&gt;"",'[1]Leakage Tree Data'!AD118,"")</f>
      </c>
      <c s="72">
        <f>IF('[1]Leakage Tree Data'!AE118&lt;&gt;"",'[1]Leakage Tree Data'!AE118,"")</f>
      </c>
      <c s="73">
        <f t="shared" si="98"/>
      </c>
      <c s="73">
        <f t="shared" si="99"/>
      </c>
      <c s="73">
        <f t="shared" si="100"/>
      </c>
      <c s="73">
        <f t="shared" si="101"/>
      </c>
      <c s="74">
        <f t="shared" si="108"/>
      </c>
      <c s="74">
        <f t="shared" si="109"/>
      </c>
      <c s="69" t="str">
        <f t="shared" si="55"/>
        <v>Total US - Bjs.com</v>
      </c>
      <c s="69" t="str">
        <f t="shared" si="56"/>
        <v>Total US - Internet</v>
      </c>
      <c s="77"/>
    </row>
    <row r="220" spans="1:141" s="92" customFormat="1" ht="15">
      <c r="A22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 t="shared" si="86"/>
      </c>
      <c s="76">
        <f t="shared" si="87"/>
      </c>
      <c s="75">
        <f t="shared" si="102"/>
      </c>
      <c s="76">
        <f t="shared" si="88"/>
      </c>
      <c s="75">
        <f t="shared" si="103"/>
      </c>
      <c s="76">
        <f t="shared" si="89"/>
      </c>
      <c s="75">
        <f t="shared" si="104"/>
      </c>
      <c s="76">
        <f t="shared" si="90"/>
      </c>
      <c s="75">
        <f t="shared" si="84"/>
      </c>
      <c s="76">
        <f t="shared" si="91"/>
      </c>
      <c s="75">
        <f t="shared" si="92"/>
      </c>
      <c s="76">
        <f t="shared" si="93"/>
      </c>
      <c s="75">
        <f t="shared" si="105"/>
      </c>
      <c s="76">
        <f t="shared" si="94"/>
      </c>
      <c s="75">
        <f t="shared" si="106"/>
      </c>
      <c s="76">
        <f t="shared" si="95"/>
      </c>
      <c s="75">
        <f t="shared" si="107"/>
      </c>
      <c s="76">
        <f t="shared" si="96"/>
      </c>
      <c s="75">
        <f t="shared" si="85"/>
      </c>
      <c s="76">
        <f t="shared" si="97"/>
      </c>
      <c s="65" t="str">
        <f t="shared" si="75"/>
        <v>CVS.com</v>
      </c>
      <c s="65" t="str">
        <f t="shared" si="76"/>
        <v>Internet</v>
      </c>
      <c s="72" t="str">
        <f>IF('[1]Leakage Tree Data'!A119&lt;&gt;"",'[1]Leakage Tree Data'!A119,"")</f>
        <v>Total US - CVS.com</v>
      </c>
      <c s="72" t="str">
        <f>IF('[1]Leakage Tree Data'!B119&lt;&gt;"",'[1]Leakage Tree Data'!B119,"")</f>
        <v>Total US - Internet</v>
      </c>
      <c s="72">
        <f>IF('[1]Leakage Tree Data'!C119&lt;&gt;"",'[1]Leakage Tree Data'!C119,"")</f>
        <v>121171760.292236</v>
      </c>
      <c s="72">
        <f>IF('[1]Leakage Tree Data'!D119&lt;&gt;"",'[1]Leakage Tree Data'!D119,"")</f>
        <v>1993857.82501221</v>
      </c>
      <c s="72">
        <f>IF('[1]Leakage Tree Data'!E119&lt;&gt;"",'[1]Leakage Tree Data'!E119,"")</f>
        <v>1.64548061380268</v>
      </c>
      <c s="72">
        <f>IF('[1]Leakage Tree Data'!F119&lt;&gt;"",'[1]Leakage Tree Data'!F119,"")</f>
        <v>119177902.467224</v>
      </c>
      <c s="72">
        <f>IF('[1]Leakage Tree Data'!G119&lt;&gt;"",'[1]Leakage Tree Data'!G119,"")</f>
        <v>98.3545193861973</v>
      </c>
      <c s="72">
        <f>IF('[1]Leakage Tree Data'!H119&lt;&gt;"",'[1]Leakage Tree Data'!H119,"")</f>
        <v>61518209.9918823</v>
      </c>
      <c s="72" t="str">
        <f>IF('[1]Leakage Tree Data'!I119&lt;&gt;"",'[1]Leakage Tree Data'!I119,"")</f>
        <v>Internet</v>
      </c>
      <c s="72">
        <f>IF('[1]Leakage Tree Data'!J119&lt;&gt;"",'[1]Leakage Tree Data'!J119,"")</f>
      </c>
      <c s="72">
        <f>IF('[1]Leakage Tree Data'!K119&lt;&gt;"",'[1]Leakage Tree Data'!K119,"")</f>
      </c>
      <c s="72">
        <f>IF('[1]Leakage Tree Data'!L119&lt;&gt;"",'[1]Leakage Tree Data'!L119,"")</f>
      </c>
      <c s="72">
        <f>IF('[1]Leakage Tree Data'!M119&lt;&gt;"",'[1]Leakage Tree Data'!M119,"")</f>
      </c>
      <c s="72">
        <f>IF('[1]Leakage Tree Data'!N119&lt;&gt;"",'[1]Leakage Tree Data'!N119,"")</f>
      </c>
      <c s="72">
        <f>IF('[1]Leakage Tree Data'!O119&lt;&gt;"",'[1]Leakage Tree Data'!O119,"")</f>
        <v>9.63209736968561</v>
      </c>
      <c s="72">
        <f>IF('[1]Leakage Tree Data'!P119&lt;&gt;"",'[1]Leakage Tree Data'!P119,"")</f>
        <v>186534.240944986</v>
      </c>
      <c s="72">
        <f>IF('[1]Leakage Tree Data'!Q119&lt;&gt;"",'[1]Leakage Tree Data'!Q119,"")</f>
      </c>
      <c s="72">
        <f>IF('[1]Leakage Tree Data'!R119&lt;&gt;"",'[1]Leakage Tree Data'!R119,"")</f>
        <v>1017625.85098267</v>
      </c>
      <c s="72">
        <f>IF('[1]Leakage Tree Data'!S119&lt;&gt;"",'[1]Leakage Tree Data'!S119,"")</f>
        <v>-234641.525939941</v>
      </c>
      <c s="72">
        <f>IF('[1]Leakage Tree Data'!T119&lt;&gt;"",'[1]Leakage Tree Data'!T119,"")</f>
        <v>-0.20921990176028</v>
      </c>
      <c s="72">
        <f>IF('[1]Leakage Tree Data'!U119&lt;&gt;"",'[1]Leakage Tree Data'!U119,"")</f>
        <v>1252267.37692261</v>
      </c>
      <c s="72">
        <f>IF('[1]Leakage Tree Data'!V119&lt;&gt;"",'[1]Leakage Tree Data'!V119,"")</f>
        <v>0.209219901760278</v>
      </c>
      <c s="72">
        <f>IF('[1]Leakage Tree Data'!W119&lt;&gt;"",'[1]Leakage Tree Data'!W119,"")</f>
        <v>-1855949.2237854</v>
      </c>
      <c s="72">
        <f>IF('[1]Leakage Tree Data'!X119&lt;&gt;"",'[1]Leakage Tree Data'!X119,"")</f>
      </c>
      <c s="72">
        <f>IF('[1]Leakage Tree Data'!Y119&lt;&gt;"",'[1]Leakage Tree Data'!Y119,"")</f>
      </c>
      <c s="72">
        <f>IF('[1]Leakage Tree Data'!Z119&lt;&gt;"",'[1]Leakage Tree Data'!Z119,"")</f>
      </c>
      <c s="72">
        <f>IF('[1]Leakage Tree Data'!AA119&lt;&gt;"",'[1]Leakage Tree Data'!AA119,"")</f>
      </c>
      <c s="72">
        <f>IF('[1]Leakage Tree Data'!AB119&lt;&gt;"",'[1]Leakage Tree Data'!AB119,"")</f>
      </c>
      <c s="72">
        <f>IF('[1]Leakage Tree Data'!AC119&lt;&gt;"",'[1]Leakage Tree Data'!AC119,"")</f>
      </c>
      <c s="72">
        <f>IF('[1]Leakage Tree Data'!AD119&lt;&gt;"",'[1]Leakage Tree Data'!AD119,"")</f>
        <v>2.33976236347263</v>
      </c>
      <c s="72">
        <f>IF('[1]Leakage Tree Data'!AE119&lt;&gt;"",'[1]Leakage Tree Data'!AE119,"")</f>
      </c>
      <c s="73">
        <f t="shared" si="98"/>
      </c>
      <c s="73">
        <f t="shared" si="99"/>
      </c>
      <c s="73">
        <f t="shared" si="100"/>
      </c>
      <c s="73">
        <f t="shared" si="101"/>
      </c>
      <c s="74">
        <f t="shared" si="108"/>
      </c>
      <c s="74">
        <f t="shared" si="109"/>
      </c>
      <c s="69" t="str">
        <f t="shared" si="55"/>
        <v>Total US - CVS.com</v>
      </c>
      <c s="69" t="str">
        <f t="shared" si="56"/>
        <v>Total US - Internet</v>
      </c>
      <c s="77"/>
    </row>
    <row r="221" spans="1:141" s="92" customFormat="1" ht="15">
      <c r="A22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 t="shared" si="86"/>
      </c>
      <c s="76">
        <f t="shared" si="87"/>
      </c>
      <c s="75">
        <f t="shared" si="102"/>
      </c>
      <c s="76">
        <f t="shared" si="88"/>
      </c>
      <c s="75">
        <f t="shared" si="103"/>
      </c>
      <c s="76">
        <f t="shared" si="89"/>
      </c>
      <c s="75">
        <f t="shared" si="104"/>
      </c>
      <c s="76">
        <f t="shared" si="90"/>
      </c>
      <c s="75">
        <f t="shared" si="84"/>
      </c>
      <c s="76">
        <f t="shared" si="91"/>
      </c>
      <c s="75">
        <f t="shared" si="92"/>
      </c>
      <c s="76">
        <f t="shared" si="93"/>
      </c>
      <c s="75">
        <f t="shared" si="105"/>
      </c>
      <c s="76">
        <f t="shared" si="94"/>
      </c>
      <c s="75">
        <f t="shared" si="106"/>
      </c>
      <c s="76">
        <f t="shared" si="95"/>
      </c>
      <c s="75">
        <f t="shared" si="107"/>
      </c>
      <c s="76">
        <f t="shared" si="96"/>
      </c>
      <c s="75">
        <f t="shared" si="85"/>
      </c>
      <c s="76">
        <f t="shared" si="97"/>
      </c>
      <c s="65" t="str">
        <f t="shared" si="75"/>
        <v>Costco.com</v>
      </c>
      <c s="65" t="str">
        <f t="shared" si="76"/>
        <v>Internet</v>
      </c>
      <c s="72" t="str">
        <f>IF('[1]Leakage Tree Data'!A120&lt;&gt;"",'[1]Leakage Tree Data'!A120,"")</f>
        <v>Total US - Costco.com</v>
      </c>
      <c s="72" t="str">
        <f>IF('[1]Leakage Tree Data'!B120&lt;&gt;"",'[1]Leakage Tree Data'!B120,"")</f>
        <v>Total US - Internet</v>
      </c>
      <c s="72">
        <f>IF('[1]Leakage Tree Data'!C120&lt;&gt;"",'[1]Leakage Tree Data'!C120,"")</f>
        <v>121171760.292236</v>
      </c>
      <c s="72">
        <f>IF('[1]Leakage Tree Data'!D120&lt;&gt;"",'[1]Leakage Tree Data'!D120,"")</f>
        <v>1494902.09039307</v>
      </c>
      <c s="72">
        <f>IF('[1]Leakage Tree Data'!E120&lt;&gt;"",'[1]Leakage Tree Data'!E120,"")</f>
        <v>1.23370502069767</v>
      </c>
      <c s="72">
        <f>IF('[1]Leakage Tree Data'!F120&lt;&gt;"",'[1]Leakage Tree Data'!F120,"")</f>
        <v>119676858.201843</v>
      </c>
      <c s="72">
        <f>IF('[1]Leakage Tree Data'!G120&lt;&gt;"",'[1]Leakage Tree Data'!G120,"")</f>
        <v>98.7662949793023</v>
      </c>
      <c s="72">
        <f>IF('[1]Leakage Tree Data'!H120&lt;&gt;"",'[1]Leakage Tree Data'!H120,"")</f>
        <v>61518209.9918823</v>
      </c>
      <c s="72" t="str">
        <f>IF('[1]Leakage Tree Data'!I120&lt;&gt;"",'[1]Leakage Tree Data'!I120,"")</f>
        <v>Internet</v>
      </c>
      <c s="72">
        <f>IF('[1]Leakage Tree Data'!J120&lt;&gt;"",'[1]Leakage Tree Data'!J120,"")</f>
      </c>
      <c s="72">
        <f>IF('[1]Leakage Tree Data'!K120&lt;&gt;"",'[1]Leakage Tree Data'!K120,"")</f>
      </c>
      <c s="72">
        <f>IF('[1]Leakage Tree Data'!L120&lt;&gt;"",'[1]Leakage Tree Data'!L120,"")</f>
      </c>
      <c s="72">
        <f>IF('[1]Leakage Tree Data'!M120&lt;&gt;"",'[1]Leakage Tree Data'!M120,"")</f>
      </c>
      <c s="72">
        <f>IF('[1]Leakage Tree Data'!N120&lt;&gt;"",'[1]Leakage Tree Data'!N120,"")</f>
      </c>
      <c s="72">
        <f>IF('[1]Leakage Tree Data'!O120&lt;&gt;"",'[1]Leakage Tree Data'!O120,"")</f>
        <v>7.62198067007177</v>
      </c>
      <c s="72">
        <f>IF('[1]Leakage Tree Data'!P120&lt;&gt;"",'[1]Leakage Tree Data'!P120,"")</f>
        <v>291126.203007558</v>
      </c>
      <c s="72">
        <f>IF('[1]Leakage Tree Data'!Q120&lt;&gt;"",'[1]Leakage Tree Data'!Q120,"")</f>
      </c>
      <c s="72">
        <f>IF('[1]Leakage Tree Data'!R120&lt;&gt;"",'[1]Leakage Tree Data'!R120,"")</f>
        <v>1017625.85098267</v>
      </c>
      <c s="72">
        <f>IF('[1]Leakage Tree Data'!S120&lt;&gt;"",'[1]Leakage Tree Data'!S120,"")</f>
        <v>9968.59039306641</v>
      </c>
      <c s="72">
        <f>IF('[1]Leakage Tree Data'!T120&lt;&gt;"",'[1]Leakage Tree Data'!T120,"")</f>
        <v>-0.00215216133381446</v>
      </c>
      <c s="72">
        <f>IF('[1]Leakage Tree Data'!U120&lt;&gt;"",'[1]Leakage Tree Data'!U120,"")</f>
        <v>1007657.2605896</v>
      </c>
      <c s="72">
        <f>IF('[1]Leakage Tree Data'!V120&lt;&gt;"",'[1]Leakage Tree Data'!V120,"")</f>
        <v>0.00215216133381091</v>
      </c>
      <c s="72">
        <f>IF('[1]Leakage Tree Data'!W120&lt;&gt;"",'[1]Leakage Tree Data'!W120,"")</f>
        <v>-1855949.2237854</v>
      </c>
      <c s="72">
        <f>IF('[1]Leakage Tree Data'!X120&lt;&gt;"",'[1]Leakage Tree Data'!X120,"")</f>
      </c>
      <c s="72">
        <f>IF('[1]Leakage Tree Data'!Y120&lt;&gt;"",'[1]Leakage Tree Data'!Y120,"")</f>
      </c>
      <c s="72">
        <f>IF('[1]Leakage Tree Data'!Z120&lt;&gt;"",'[1]Leakage Tree Data'!Z120,"")</f>
      </c>
      <c s="72">
        <f>IF('[1]Leakage Tree Data'!AA120&lt;&gt;"",'[1]Leakage Tree Data'!AA120,"")</f>
      </c>
      <c s="72">
        <f>IF('[1]Leakage Tree Data'!AB120&lt;&gt;"",'[1]Leakage Tree Data'!AB120,"")</f>
      </c>
      <c s="72">
        <f>IF('[1]Leakage Tree Data'!AC120&lt;&gt;"",'[1]Leakage Tree Data'!AC120,"")</f>
      </c>
      <c s="72">
        <f>IF('[1]Leakage Tree Data'!AD120&lt;&gt;"",'[1]Leakage Tree Data'!AD120,"")</f>
        <v>-2.67186637939929</v>
      </c>
      <c s="72">
        <f>IF('[1]Leakage Tree Data'!AE120&lt;&gt;"",'[1]Leakage Tree Data'!AE120,"")</f>
      </c>
      <c s="73">
        <f t="shared" si="98"/>
      </c>
      <c s="73">
        <f t="shared" si="99"/>
      </c>
      <c s="73">
        <f t="shared" si="100"/>
      </c>
      <c s="73">
        <f t="shared" si="101"/>
      </c>
      <c s="74">
        <f t="shared" si="108"/>
      </c>
      <c s="74">
        <f t="shared" si="109"/>
      </c>
      <c s="69" t="str">
        <f t="shared" si="55"/>
        <v>Total US - Costco.com</v>
      </c>
      <c s="69" t="str">
        <f t="shared" si="56"/>
        <v>Total US - Internet</v>
      </c>
      <c s="77"/>
    </row>
    <row r="222" spans="1:141" s="92" customFormat="1" ht="15">
      <c r="A22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 t="shared" si="86"/>
      </c>
      <c s="76">
        <f t="shared" si="87"/>
      </c>
      <c s="75">
        <f t="shared" si="102"/>
      </c>
      <c s="76">
        <f t="shared" si="88"/>
      </c>
      <c s="75">
        <f t="shared" si="103"/>
      </c>
      <c s="76">
        <f t="shared" si="89"/>
      </c>
      <c s="75">
        <f t="shared" si="104"/>
      </c>
      <c s="76">
        <f t="shared" si="90"/>
      </c>
      <c s="75">
        <f t="shared" si="84"/>
      </c>
      <c s="76">
        <f t="shared" si="91"/>
      </c>
      <c s="75">
        <f t="shared" si="92"/>
      </c>
      <c s="76">
        <f t="shared" si="93"/>
      </c>
      <c s="75">
        <f t="shared" si="105"/>
      </c>
      <c s="76">
        <f t="shared" si="94"/>
      </c>
      <c s="75">
        <f t="shared" si="106"/>
      </c>
      <c s="76">
        <f t="shared" si="95"/>
      </c>
      <c s="75">
        <f t="shared" si="107"/>
      </c>
      <c s="76">
        <f t="shared" si="96"/>
      </c>
      <c s="75">
        <f t="shared" si="85"/>
      </c>
      <c s="76">
        <f t="shared" si="97"/>
      </c>
      <c s="65" t="str">
        <f t="shared" si="75"/>
        <v>Dollargeneral.com</v>
      </c>
      <c s="65" t="str">
        <f t="shared" si="76"/>
        <v>Internet</v>
      </c>
      <c s="72" t="str">
        <f>IF('[1]Leakage Tree Data'!A121&lt;&gt;"",'[1]Leakage Tree Data'!A121,"")</f>
        <v>Total US - Dollargeneral.com</v>
      </c>
      <c s="72" t="str">
        <f>IF('[1]Leakage Tree Data'!B121&lt;&gt;"",'[1]Leakage Tree Data'!B121,"")</f>
        <v>Total US - Internet</v>
      </c>
      <c s="72">
        <f>IF('[1]Leakage Tree Data'!C121&lt;&gt;"",'[1]Leakage Tree Data'!C121,"")</f>
        <v>121171760.292236</v>
      </c>
      <c s="72">
        <f>IF('[1]Leakage Tree Data'!D121&lt;&gt;"",'[1]Leakage Tree Data'!D121,"")</f>
        <v>771739.69744873</v>
      </c>
      <c s="72">
        <f>IF('[1]Leakage Tree Data'!E121&lt;&gt;"",'[1]Leakage Tree Data'!E121,"")</f>
        <v>0.636897322930265</v>
      </c>
      <c s="72">
        <f>IF('[1]Leakage Tree Data'!F121&lt;&gt;"",'[1]Leakage Tree Data'!F121,"")</f>
        <v>120400020.594788</v>
      </c>
      <c s="72">
        <f>IF('[1]Leakage Tree Data'!G121&lt;&gt;"",'[1]Leakage Tree Data'!G121,"")</f>
        <v>99.3631026770697</v>
      </c>
      <c s="72">
        <f>IF('[1]Leakage Tree Data'!H121&lt;&gt;"",'[1]Leakage Tree Data'!H121,"")</f>
        <v>61518209.9918823</v>
      </c>
      <c s="72" t="str">
        <f>IF('[1]Leakage Tree Data'!I121&lt;&gt;"",'[1]Leakage Tree Data'!I121,"")</f>
        <v>Internet</v>
      </c>
      <c s="72">
        <f>IF('[1]Leakage Tree Data'!J121&lt;&gt;"",'[1]Leakage Tree Data'!J121,"")</f>
      </c>
      <c s="72">
        <f>IF('[1]Leakage Tree Data'!K121&lt;&gt;"",'[1]Leakage Tree Data'!K121,"")</f>
      </c>
      <c s="72">
        <f>IF('[1]Leakage Tree Data'!L121&lt;&gt;"",'[1]Leakage Tree Data'!L121,"")</f>
      </c>
      <c s="72">
        <f>IF('[1]Leakage Tree Data'!M121&lt;&gt;"",'[1]Leakage Tree Data'!M121,"")</f>
      </c>
      <c s="72">
        <f>IF('[1]Leakage Tree Data'!N121&lt;&gt;"",'[1]Leakage Tree Data'!N121,"")</f>
      </c>
      <c s="72">
        <f>IF('[1]Leakage Tree Data'!O121&lt;&gt;"",'[1]Leakage Tree Data'!O121,"")</f>
        <v>14.7002094659705</v>
      </c>
      <c s="72">
        <f>IF('[1]Leakage Tree Data'!P121&lt;&gt;"",'[1]Leakage Tree Data'!P121,"")</f>
        <v>50914.6038402188</v>
      </c>
      <c s="72">
        <f>IF('[1]Leakage Tree Data'!Q121&lt;&gt;"",'[1]Leakage Tree Data'!Q121,"")</f>
      </c>
      <c s="72">
        <f>IF('[1]Leakage Tree Data'!R121&lt;&gt;"",'[1]Leakage Tree Data'!R121,"")</f>
        <v>1017625.85098267</v>
      </c>
      <c s="72">
        <f>IF('[1]Leakage Tree Data'!S121&lt;&gt;"",'[1]Leakage Tree Data'!S121,"")</f>
        <v>-48099.1016235352</v>
      </c>
      <c s="72">
        <f>IF('[1]Leakage Tree Data'!T121&lt;&gt;"",'[1]Leakage Tree Data'!T121,"")</f>
        <v>-0.0454252645401693</v>
      </c>
      <c s="72">
        <f>IF('[1]Leakage Tree Data'!U121&lt;&gt;"",'[1]Leakage Tree Data'!U121,"")</f>
        <v>1065724.9526062</v>
      </c>
      <c s="72">
        <f>IF('[1]Leakage Tree Data'!V121&lt;&gt;"",'[1]Leakage Tree Data'!V121,"")</f>
        <v>0.0454252645401709</v>
      </c>
      <c s="72">
        <f>IF('[1]Leakage Tree Data'!W121&lt;&gt;"",'[1]Leakage Tree Data'!W121,"")</f>
        <v>-1855949.2237854</v>
      </c>
      <c s="72">
        <f>IF('[1]Leakage Tree Data'!X121&lt;&gt;"",'[1]Leakage Tree Data'!X121,"")</f>
      </c>
      <c s="72">
        <f>IF('[1]Leakage Tree Data'!Y121&lt;&gt;"",'[1]Leakage Tree Data'!Y121,"")</f>
      </c>
      <c s="72">
        <f>IF('[1]Leakage Tree Data'!Z121&lt;&gt;"",'[1]Leakage Tree Data'!Z121,"")</f>
      </c>
      <c s="72">
        <f>IF('[1]Leakage Tree Data'!AA121&lt;&gt;"",'[1]Leakage Tree Data'!AA121,"")</f>
      </c>
      <c s="72">
        <f>IF('[1]Leakage Tree Data'!AB121&lt;&gt;"",'[1]Leakage Tree Data'!AB121,"")</f>
      </c>
      <c s="72">
        <f>IF('[1]Leakage Tree Data'!AC121&lt;&gt;"",'[1]Leakage Tree Data'!AC121,"")</f>
      </c>
      <c s="72">
        <f>IF('[1]Leakage Tree Data'!AD121&lt;&gt;"",'[1]Leakage Tree Data'!AD121,"")</f>
        <v>-2.90350630098482</v>
      </c>
      <c s="72">
        <f>IF('[1]Leakage Tree Data'!AE121&lt;&gt;"",'[1]Leakage Tree Data'!AE121,"")</f>
      </c>
      <c s="73">
        <f t="shared" si="98"/>
      </c>
      <c s="73">
        <f t="shared" si="99"/>
      </c>
      <c s="73">
        <f t="shared" si="100"/>
      </c>
      <c s="73">
        <f t="shared" si="101"/>
      </c>
      <c s="74">
        <f t="shared" si="108"/>
      </c>
      <c s="74">
        <f t="shared" si="109"/>
      </c>
      <c s="69" t="str">
        <f t="shared" si="55"/>
        <v>Total US - Dollargeneral.com</v>
      </c>
      <c s="69" t="str">
        <f t="shared" si="56"/>
        <v>Total US - Internet</v>
      </c>
      <c s="77"/>
    </row>
    <row r="223" spans="1:141" s="92" customFormat="1" ht="15">
      <c r="A22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 t="shared" si="86"/>
      </c>
      <c s="76">
        <f t="shared" si="87"/>
      </c>
      <c s="75">
        <f t="shared" si="102"/>
      </c>
      <c s="76">
        <f t="shared" si="88"/>
      </c>
      <c s="75">
        <f t="shared" si="103"/>
      </c>
      <c s="76">
        <f t="shared" si="89"/>
      </c>
      <c s="75">
        <f t="shared" si="104"/>
      </c>
      <c s="76">
        <f t="shared" si="90"/>
      </c>
      <c s="75">
        <f t="shared" si="84"/>
      </c>
      <c s="76">
        <f t="shared" si="91"/>
      </c>
      <c s="75">
        <f t="shared" si="92"/>
      </c>
      <c s="76">
        <f t="shared" si="93"/>
      </c>
      <c s="75">
        <f t="shared" si="105"/>
      </c>
      <c s="76">
        <f t="shared" si="94"/>
      </c>
      <c s="75">
        <f t="shared" si="106"/>
      </c>
      <c s="76">
        <f t="shared" si="95"/>
      </c>
      <c s="75">
        <f t="shared" si="107"/>
      </c>
      <c s="76">
        <f t="shared" si="96"/>
      </c>
      <c s="75">
        <f t="shared" si="85"/>
      </c>
      <c s="76">
        <f t="shared" si="97"/>
      </c>
      <c s="65" t="str">
        <f t="shared" si="75"/>
        <v>Drugstore.com</v>
      </c>
      <c s="65" t="str">
        <f t="shared" si="76"/>
        <v>Internet</v>
      </c>
      <c s="72" t="str">
        <f>IF('[1]Leakage Tree Data'!A122&lt;&gt;"",'[1]Leakage Tree Data'!A122,"")</f>
        <v>Total US - Drugstore.com</v>
      </c>
      <c s="72" t="str">
        <f>IF('[1]Leakage Tree Data'!B122&lt;&gt;"",'[1]Leakage Tree Data'!B122,"")</f>
        <v>Total US - Internet</v>
      </c>
      <c s="72">
        <f>IF('[1]Leakage Tree Data'!C122&lt;&gt;"",'[1]Leakage Tree Data'!C122,"")</f>
        <v>121171760.292236</v>
      </c>
      <c s="72">
        <f>IF('[1]Leakage Tree Data'!D122&lt;&gt;"",'[1]Leakage Tree Data'!D122,"")</f>
        <v>1568582.89996338</v>
      </c>
      <c s="72">
        <f>IF('[1]Leakage Tree Data'!E122&lt;&gt;"",'[1]Leakage Tree Data'!E122,"")</f>
        <v>1.29451193593321</v>
      </c>
      <c s="72">
        <f>IF('[1]Leakage Tree Data'!F122&lt;&gt;"",'[1]Leakage Tree Data'!F122,"")</f>
        <v>119603177.392273</v>
      </c>
      <c s="72">
        <f>IF('[1]Leakage Tree Data'!G122&lt;&gt;"",'[1]Leakage Tree Data'!G122,"")</f>
        <v>98.7054880640668</v>
      </c>
      <c s="72">
        <f>IF('[1]Leakage Tree Data'!H122&lt;&gt;"",'[1]Leakage Tree Data'!H122,"")</f>
        <v>61518209.9918823</v>
      </c>
      <c s="72" t="str">
        <f>IF('[1]Leakage Tree Data'!I122&lt;&gt;"",'[1]Leakage Tree Data'!I122,"")</f>
        <v>Internet</v>
      </c>
      <c s="72">
        <f>IF('[1]Leakage Tree Data'!J122&lt;&gt;"",'[1]Leakage Tree Data'!J122,"")</f>
      </c>
      <c s="72">
        <f>IF('[1]Leakage Tree Data'!K122&lt;&gt;"",'[1]Leakage Tree Data'!K122,"")</f>
      </c>
      <c s="72">
        <f>IF('[1]Leakage Tree Data'!L122&lt;&gt;"",'[1]Leakage Tree Data'!L122,"")</f>
      </c>
      <c s="72">
        <f>IF('[1]Leakage Tree Data'!M122&lt;&gt;"",'[1]Leakage Tree Data'!M122,"")</f>
      </c>
      <c s="72">
        <f>IF('[1]Leakage Tree Data'!N122&lt;&gt;"",'[1]Leakage Tree Data'!N122,"")</f>
      </c>
      <c s="72">
        <f>IF('[1]Leakage Tree Data'!O122&lt;&gt;"",'[1]Leakage Tree Data'!O122,"")</f>
      </c>
      <c s="72">
        <f>IF('[1]Leakage Tree Data'!P122&lt;&gt;"",'[1]Leakage Tree Data'!P122,"")</f>
      </c>
      <c s="72">
        <f>IF('[1]Leakage Tree Data'!Q122&lt;&gt;"",'[1]Leakage Tree Data'!Q122,"")</f>
      </c>
      <c s="72">
        <f>IF('[1]Leakage Tree Data'!R122&lt;&gt;"",'[1]Leakage Tree Data'!R122,"")</f>
        <v>1017625.85098267</v>
      </c>
      <c s="72">
        <f>IF('[1]Leakage Tree Data'!S122&lt;&gt;"",'[1]Leakage Tree Data'!S122,"")</f>
        <v>-271983.340118408</v>
      </c>
      <c s="72">
        <f>IF('[1]Leakage Tree Data'!T122&lt;&gt;"",'[1]Leakage Tree Data'!T122,"")</f>
        <v>-0.237325689664005</v>
      </c>
      <c s="72">
        <f>IF('[1]Leakage Tree Data'!U122&lt;&gt;"",'[1]Leakage Tree Data'!U122,"")</f>
        <v>1289609.19110107</v>
      </c>
      <c s="72">
        <f>IF('[1]Leakage Tree Data'!V122&lt;&gt;"",'[1]Leakage Tree Data'!V122,"")</f>
        <v>0.237325689664004</v>
      </c>
      <c s="72">
        <f>IF('[1]Leakage Tree Data'!W122&lt;&gt;"",'[1]Leakage Tree Data'!W122,"")</f>
        <v>-1855949.2237854</v>
      </c>
      <c s="72">
        <f>IF('[1]Leakage Tree Data'!X122&lt;&gt;"",'[1]Leakage Tree Data'!X122,"")</f>
      </c>
      <c s="72">
        <f>IF('[1]Leakage Tree Data'!Y122&lt;&gt;"",'[1]Leakage Tree Data'!Y122,"")</f>
      </c>
      <c s="72">
        <f>IF('[1]Leakage Tree Data'!Z122&lt;&gt;"",'[1]Leakage Tree Data'!Z122,"")</f>
      </c>
      <c s="72">
        <f>IF('[1]Leakage Tree Data'!AA122&lt;&gt;"",'[1]Leakage Tree Data'!AA122,"")</f>
      </c>
      <c s="72">
        <f>IF('[1]Leakage Tree Data'!AB122&lt;&gt;"",'[1]Leakage Tree Data'!AB122,"")</f>
      </c>
      <c s="72">
        <f>IF('[1]Leakage Tree Data'!AC122&lt;&gt;"",'[1]Leakage Tree Data'!AC122,"")</f>
      </c>
      <c s="72">
        <f>IF('[1]Leakage Tree Data'!AD122&lt;&gt;"",'[1]Leakage Tree Data'!AD122,"")</f>
      </c>
      <c s="72">
        <f>IF('[1]Leakage Tree Data'!AE122&lt;&gt;"",'[1]Leakage Tree Data'!AE122,"")</f>
      </c>
      <c s="73">
        <f t="shared" si="98"/>
      </c>
      <c s="73">
        <f t="shared" si="99"/>
      </c>
      <c s="73">
        <f t="shared" si="100"/>
      </c>
      <c s="73">
        <f t="shared" si="101"/>
      </c>
      <c s="74">
        <f t="shared" si="108"/>
      </c>
      <c s="74">
        <f t="shared" si="109"/>
      </c>
      <c s="69" t="str">
        <f t="shared" si="55"/>
        <v>Total US - Drugstore.com</v>
      </c>
      <c s="69" t="str">
        <f t="shared" si="56"/>
        <v>Total US - Internet</v>
      </c>
      <c s="77"/>
    </row>
    <row r="224" spans="1:141" s="92" customFormat="1" ht="15">
      <c r="A22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 t="shared" si="86"/>
      </c>
      <c s="76">
        <f t="shared" si="87"/>
      </c>
      <c s="75">
        <f t="shared" si="102"/>
      </c>
      <c s="76">
        <f t="shared" si="88"/>
      </c>
      <c s="75">
        <f t="shared" si="103"/>
      </c>
      <c s="76">
        <f t="shared" si="89"/>
      </c>
      <c s="75">
        <f t="shared" si="104"/>
      </c>
      <c s="76">
        <f t="shared" si="90"/>
      </c>
      <c s="75">
        <f t="shared" si="84"/>
      </c>
      <c s="76">
        <f t="shared" si="91"/>
      </c>
      <c s="75">
        <f t="shared" si="92"/>
      </c>
      <c s="76">
        <f t="shared" si="93"/>
      </c>
      <c s="75">
        <f t="shared" si="105"/>
      </c>
      <c s="76">
        <f t="shared" si="94"/>
      </c>
      <c s="75">
        <f t="shared" si="106"/>
      </c>
      <c s="76">
        <f t="shared" si="95"/>
      </c>
      <c s="75">
        <f t="shared" si="107"/>
      </c>
      <c s="76">
        <f t="shared" si="96"/>
      </c>
      <c s="75">
        <f t="shared" si="85"/>
      </c>
      <c s="76">
        <f t="shared" si="97"/>
      </c>
      <c s="65" t="str">
        <f t="shared" si="75"/>
        <v>Ebay.com</v>
      </c>
      <c s="65" t="str">
        <f t="shared" si="76"/>
        <v>Internet</v>
      </c>
      <c s="72" t="str">
        <f>IF('[1]Leakage Tree Data'!A123&lt;&gt;"",'[1]Leakage Tree Data'!A123,"")</f>
        <v>Total US - Ebay.com</v>
      </c>
      <c s="72" t="str">
        <f>IF('[1]Leakage Tree Data'!B123&lt;&gt;"",'[1]Leakage Tree Data'!B123,"")</f>
        <v>Total US - Internet</v>
      </c>
      <c s="72">
        <f>IF('[1]Leakage Tree Data'!C123&lt;&gt;"",'[1]Leakage Tree Data'!C123,"")</f>
        <v>121171760.292236</v>
      </c>
      <c s="72">
        <f>IF('[1]Leakage Tree Data'!D123&lt;&gt;"",'[1]Leakage Tree Data'!D123,"")</f>
        <v>4081950.98278809</v>
      </c>
      <c s="72">
        <f>IF('[1]Leakage Tree Data'!E123&lt;&gt;"",'[1]Leakage Tree Data'!E123,"")</f>
        <v>3.36873127281755</v>
      </c>
      <c s="72">
        <f>IF('[1]Leakage Tree Data'!F123&lt;&gt;"",'[1]Leakage Tree Data'!F123,"")</f>
        <v>117089809.309448</v>
      </c>
      <c s="72">
        <f>IF('[1]Leakage Tree Data'!G123&lt;&gt;"",'[1]Leakage Tree Data'!G123,"")</f>
        <v>96.6312687271824</v>
      </c>
      <c s="72">
        <f>IF('[1]Leakage Tree Data'!H123&lt;&gt;"",'[1]Leakage Tree Data'!H123,"")</f>
        <v>61518209.9918823</v>
      </c>
      <c s="72" t="str">
        <f>IF('[1]Leakage Tree Data'!I123&lt;&gt;"",'[1]Leakage Tree Data'!I123,"")</f>
        <v>Internet</v>
      </c>
      <c s="72">
        <f>IF('[1]Leakage Tree Data'!J123&lt;&gt;"",'[1]Leakage Tree Data'!J123,"")</f>
      </c>
      <c s="72">
        <f>IF('[1]Leakage Tree Data'!K123&lt;&gt;"",'[1]Leakage Tree Data'!K123,"")</f>
      </c>
      <c s="72">
        <f>IF('[1]Leakage Tree Data'!L123&lt;&gt;"",'[1]Leakage Tree Data'!L123,"")</f>
      </c>
      <c s="72">
        <f>IF('[1]Leakage Tree Data'!M123&lt;&gt;"",'[1]Leakage Tree Data'!M123,"")</f>
      </c>
      <c s="72">
        <f>IF('[1]Leakage Tree Data'!N123&lt;&gt;"",'[1]Leakage Tree Data'!N123,"")</f>
      </c>
      <c s="72">
        <f>IF('[1]Leakage Tree Data'!O123&lt;&gt;"",'[1]Leakage Tree Data'!O123,"")</f>
      </c>
      <c s="72">
        <f>IF('[1]Leakage Tree Data'!P123&lt;&gt;"",'[1]Leakage Tree Data'!P123,"")</f>
      </c>
      <c s="72">
        <f>IF('[1]Leakage Tree Data'!Q123&lt;&gt;"",'[1]Leakage Tree Data'!Q123,"")</f>
      </c>
      <c s="72">
        <f>IF('[1]Leakage Tree Data'!R123&lt;&gt;"",'[1]Leakage Tree Data'!R123,"")</f>
        <v>1017625.85098267</v>
      </c>
      <c s="72">
        <f>IF('[1]Leakage Tree Data'!S123&lt;&gt;"",'[1]Leakage Tree Data'!S123,"")</f>
        <v>-301804.302093506</v>
      </c>
      <c s="72">
        <f>IF('[1]Leakage Tree Data'!T123&lt;&gt;"",'[1]Leakage Tree Data'!T123,"")</f>
        <v>-0.279711875033444</v>
      </c>
      <c s="72">
        <f>IF('[1]Leakage Tree Data'!U123&lt;&gt;"",'[1]Leakage Tree Data'!U123,"")</f>
        <v>1319430.15307617</v>
      </c>
      <c s="72">
        <f>IF('[1]Leakage Tree Data'!V123&lt;&gt;"",'[1]Leakage Tree Data'!V123,"")</f>
        <v>0.279711875033442</v>
      </c>
      <c s="72">
        <f>IF('[1]Leakage Tree Data'!W123&lt;&gt;"",'[1]Leakage Tree Data'!W123,"")</f>
        <v>-1855949.2237854</v>
      </c>
      <c s="72">
        <f>IF('[1]Leakage Tree Data'!X123&lt;&gt;"",'[1]Leakage Tree Data'!X123,"")</f>
      </c>
      <c s="72">
        <f>IF('[1]Leakage Tree Data'!Y123&lt;&gt;"",'[1]Leakage Tree Data'!Y123,"")</f>
      </c>
      <c s="72">
        <f>IF('[1]Leakage Tree Data'!Z123&lt;&gt;"",'[1]Leakage Tree Data'!Z123,"")</f>
      </c>
      <c s="72">
        <f>IF('[1]Leakage Tree Data'!AA123&lt;&gt;"",'[1]Leakage Tree Data'!AA123,"")</f>
      </c>
      <c s="72">
        <f>IF('[1]Leakage Tree Data'!AB123&lt;&gt;"",'[1]Leakage Tree Data'!AB123,"")</f>
      </c>
      <c s="72">
        <f>IF('[1]Leakage Tree Data'!AC123&lt;&gt;"",'[1]Leakage Tree Data'!AC123,"")</f>
      </c>
      <c s="72">
        <f>IF('[1]Leakage Tree Data'!AD123&lt;&gt;"",'[1]Leakage Tree Data'!AD123,"")</f>
      </c>
      <c s="72">
        <f>IF('[1]Leakage Tree Data'!AE123&lt;&gt;"",'[1]Leakage Tree Data'!AE123,"")</f>
      </c>
      <c s="73">
        <f t="shared" si="98"/>
      </c>
      <c s="73">
        <f t="shared" si="99"/>
      </c>
      <c s="73">
        <f t="shared" si="100"/>
      </c>
      <c s="73">
        <f t="shared" si="101"/>
      </c>
      <c s="74">
        <f t="shared" si="108"/>
      </c>
      <c s="74">
        <f t="shared" si="109"/>
      </c>
      <c s="69" t="str">
        <f t="shared" si="55"/>
        <v>Total US - Ebay.com</v>
      </c>
      <c s="69" t="str">
        <f t="shared" si="56"/>
        <v>Total US - Internet</v>
      </c>
      <c s="77"/>
    </row>
    <row r="225" spans="1:141" s="92" customFormat="1" ht="15">
      <c r="A22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 t="shared" si="86"/>
      </c>
      <c s="76">
        <f t="shared" si="87"/>
      </c>
      <c s="75">
        <f t="shared" si="102"/>
      </c>
      <c s="76">
        <f t="shared" si="88"/>
      </c>
      <c s="75">
        <f t="shared" si="103"/>
      </c>
      <c s="76">
        <f t="shared" si="89"/>
      </c>
      <c s="75">
        <f t="shared" si="104"/>
      </c>
      <c s="76">
        <f t="shared" si="90"/>
      </c>
      <c s="75">
        <f t="shared" si="84"/>
      </c>
      <c s="76">
        <f t="shared" si="91"/>
      </c>
      <c s="75">
        <f t="shared" si="92"/>
      </c>
      <c s="76">
        <f t="shared" si="93"/>
      </c>
      <c s="75">
        <f t="shared" si="105"/>
      </c>
      <c s="76">
        <f t="shared" si="94"/>
      </c>
      <c s="75">
        <f t="shared" si="106"/>
      </c>
      <c s="76">
        <f t="shared" si="95"/>
      </c>
      <c s="75">
        <f t="shared" si="107"/>
      </c>
      <c s="76">
        <f t="shared" si="96"/>
      </c>
      <c s="75">
        <f t="shared" si="85"/>
      </c>
      <c s="76">
        <f t="shared" si="97"/>
      </c>
      <c s="65" t="str">
        <f t="shared" si="75"/>
        <v>Homedepot.com</v>
      </c>
      <c s="65" t="str">
        <f t="shared" si="76"/>
        <v>Internet</v>
      </c>
      <c s="72" t="str">
        <f>IF('[1]Leakage Tree Data'!A124&lt;&gt;"",'[1]Leakage Tree Data'!A124,"")</f>
        <v>Total US - Homedepot.com</v>
      </c>
      <c s="72" t="str">
        <f>IF('[1]Leakage Tree Data'!B124&lt;&gt;"",'[1]Leakage Tree Data'!B124,"")</f>
        <v>Total US - Internet</v>
      </c>
      <c s="72">
        <f>IF('[1]Leakage Tree Data'!C124&lt;&gt;"",'[1]Leakage Tree Data'!C124,"")</f>
        <v>121171760.292236</v>
      </c>
      <c s="72">
        <f>IF('[1]Leakage Tree Data'!D124&lt;&gt;"",'[1]Leakage Tree Data'!D124,"")</f>
        <v>1364454.2512207</v>
      </c>
      <c s="72">
        <f>IF('[1]Leakage Tree Data'!E124&lt;&gt;"",'[1]Leakage Tree Data'!E124,"")</f>
        <v>1.12604970657353</v>
      </c>
      <c s="72">
        <f>IF('[1]Leakage Tree Data'!F124&lt;&gt;"",'[1]Leakage Tree Data'!F124,"")</f>
        <v>119807306.041016</v>
      </c>
      <c s="72">
        <f>IF('[1]Leakage Tree Data'!G124&lt;&gt;"",'[1]Leakage Tree Data'!G124,"")</f>
        <v>98.8739502934265</v>
      </c>
      <c s="72">
        <f>IF('[1]Leakage Tree Data'!H124&lt;&gt;"",'[1]Leakage Tree Data'!H124,"")</f>
        <v>61518209.9918823</v>
      </c>
      <c s="72" t="str">
        <f>IF('[1]Leakage Tree Data'!I124&lt;&gt;"",'[1]Leakage Tree Data'!I124,"")</f>
        <v>Internet</v>
      </c>
      <c s="72">
        <f>IF('[1]Leakage Tree Data'!J124&lt;&gt;"",'[1]Leakage Tree Data'!J124,"")</f>
      </c>
      <c s="72">
        <f>IF('[1]Leakage Tree Data'!K124&lt;&gt;"",'[1]Leakage Tree Data'!K124,"")</f>
      </c>
      <c s="72">
        <f>IF('[1]Leakage Tree Data'!L124&lt;&gt;"",'[1]Leakage Tree Data'!L124,"")</f>
      </c>
      <c s="72">
        <f>IF('[1]Leakage Tree Data'!M124&lt;&gt;"",'[1]Leakage Tree Data'!M124,"")</f>
      </c>
      <c s="72">
        <f>IF('[1]Leakage Tree Data'!N124&lt;&gt;"",'[1]Leakage Tree Data'!N124,"")</f>
      </c>
      <c s="72">
        <f>IF('[1]Leakage Tree Data'!O124&lt;&gt;"",'[1]Leakage Tree Data'!O124,"")</f>
      </c>
      <c s="72">
        <f>IF('[1]Leakage Tree Data'!P124&lt;&gt;"",'[1]Leakage Tree Data'!P124,"")</f>
      </c>
      <c s="72">
        <f>IF('[1]Leakage Tree Data'!Q124&lt;&gt;"",'[1]Leakage Tree Data'!Q124,"")</f>
      </c>
      <c s="72">
        <f>IF('[1]Leakage Tree Data'!R124&lt;&gt;"",'[1]Leakage Tree Data'!R124,"")</f>
        <v>1017625.85098267</v>
      </c>
      <c s="72">
        <f>IF('[1]Leakage Tree Data'!S124&lt;&gt;"",'[1]Leakage Tree Data'!S124,"")</f>
        <v>-118594.53918457</v>
      </c>
      <c s="72">
        <f>IF('[1]Leakage Tree Data'!T124&lt;&gt;"",'[1]Leakage Tree Data'!T124,"")</f>
        <v>-0.108238898892958</v>
      </c>
      <c s="72">
        <f>IF('[1]Leakage Tree Data'!U124&lt;&gt;"",'[1]Leakage Tree Data'!U124,"")</f>
        <v>1136220.39016724</v>
      </c>
      <c s="72">
        <f>IF('[1]Leakage Tree Data'!V124&lt;&gt;"",'[1]Leakage Tree Data'!V124,"")</f>
        <v>0.108238898892964</v>
      </c>
      <c s="72">
        <f>IF('[1]Leakage Tree Data'!W124&lt;&gt;"",'[1]Leakage Tree Data'!W124,"")</f>
        <v>-1855949.2237854</v>
      </c>
      <c s="72">
        <f>IF('[1]Leakage Tree Data'!X124&lt;&gt;"",'[1]Leakage Tree Data'!X124,"")</f>
      </c>
      <c s="72">
        <f>IF('[1]Leakage Tree Data'!Y124&lt;&gt;"",'[1]Leakage Tree Data'!Y124,"")</f>
      </c>
      <c s="72">
        <f>IF('[1]Leakage Tree Data'!Z124&lt;&gt;"",'[1]Leakage Tree Data'!Z124,"")</f>
      </c>
      <c s="72">
        <f>IF('[1]Leakage Tree Data'!AA124&lt;&gt;"",'[1]Leakage Tree Data'!AA124,"")</f>
      </c>
      <c s="72">
        <f>IF('[1]Leakage Tree Data'!AB124&lt;&gt;"",'[1]Leakage Tree Data'!AB124,"")</f>
      </c>
      <c s="72">
        <f>IF('[1]Leakage Tree Data'!AC124&lt;&gt;"",'[1]Leakage Tree Data'!AC124,"")</f>
      </c>
      <c s="72">
        <f>IF('[1]Leakage Tree Data'!AD124&lt;&gt;"",'[1]Leakage Tree Data'!AD124,"")</f>
      </c>
      <c s="72">
        <f>IF('[1]Leakage Tree Data'!AE124&lt;&gt;"",'[1]Leakage Tree Data'!AE124,"")</f>
      </c>
      <c s="73">
        <f t="shared" si="98"/>
      </c>
      <c s="73">
        <f t="shared" si="99"/>
      </c>
      <c s="73">
        <f t="shared" si="100"/>
      </c>
      <c s="73">
        <f t="shared" si="101"/>
      </c>
      <c s="74">
        <f t="shared" si="108"/>
      </c>
      <c s="74">
        <f t="shared" si="109"/>
      </c>
      <c s="69" t="str">
        <f t="shared" si="55"/>
        <v>Total US - Homedepot.com</v>
      </c>
      <c s="69" t="str">
        <f t="shared" si="56"/>
        <v>Total US - Internet</v>
      </c>
      <c s="77"/>
    </row>
    <row r="226" spans="1:141" s="92" customFormat="1" ht="15">
      <c r="A22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 t="shared" si="86"/>
      </c>
      <c s="76">
        <f t="shared" si="87"/>
      </c>
      <c s="75">
        <f t="shared" si="102"/>
      </c>
      <c s="76">
        <f t="shared" si="88"/>
      </c>
      <c s="75">
        <f t="shared" si="103"/>
      </c>
      <c s="76">
        <f t="shared" si="89"/>
      </c>
      <c s="75">
        <f t="shared" si="104"/>
      </c>
      <c s="76">
        <f t="shared" si="90"/>
      </c>
      <c s="75">
        <f t="shared" si="84"/>
      </c>
      <c s="76">
        <f t="shared" si="91"/>
      </c>
      <c s="75">
        <f t="shared" si="92"/>
      </c>
      <c s="76">
        <f t="shared" si="93"/>
      </c>
      <c s="75">
        <f t="shared" si="105"/>
      </c>
      <c s="76">
        <f t="shared" si="94"/>
      </c>
      <c s="75">
        <f t="shared" si="106"/>
      </c>
      <c s="76">
        <f t="shared" si="95"/>
      </c>
      <c s="75">
        <f t="shared" si="107"/>
      </c>
      <c s="76">
        <f t="shared" si="96"/>
      </c>
      <c s="75">
        <f t="shared" si="85"/>
      </c>
      <c s="76">
        <f t="shared" si="97"/>
      </c>
      <c s="65" t="str">
        <f t="shared" si="75"/>
        <v>Homeshopnet.com</v>
      </c>
      <c s="65" t="str">
        <f t="shared" si="76"/>
        <v>Internet</v>
      </c>
      <c s="72" t="str">
        <f>IF('[1]Leakage Tree Data'!A125&lt;&gt;"",'[1]Leakage Tree Data'!A125,"")</f>
        <v>Total US - Homeshopnet.com</v>
      </c>
      <c s="72" t="str">
        <f>IF('[1]Leakage Tree Data'!B125&lt;&gt;"",'[1]Leakage Tree Data'!B125,"")</f>
        <v>Total US - Internet</v>
      </c>
      <c s="72">
        <f>IF('[1]Leakage Tree Data'!C125&lt;&gt;"",'[1]Leakage Tree Data'!C125,"")</f>
        <v>121171760.292236</v>
      </c>
      <c s="72">
        <f>IF('[1]Leakage Tree Data'!D125&lt;&gt;"",'[1]Leakage Tree Data'!D125,"")</f>
        <v>710465.702087402</v>
      </c>
      <c s="72">
        <f>IF('[1]Leakage Tree Data'!E125&lt;&gt;"",'[1]Leakage Tree Data'!E125,"")</f>
        <v>0.586329438785023</v>
      </c>
      <c s="72">
        <f>IF('[1]Leakage Tree Data'!F125&lt;&gt;"",'[1]Leakage Tree Data'!F125,"")</f>
        <v>120461294.590149</v>
      </c>
      <c s="72">
        <f>IF('[1]Leakage Tree Data'!G125&lt;&gt;"",'[1]Leakage Tree Data'!G125,"")</f>
        <v>99.413670561215</v>
      </c>
      <c s="72">
        <f>IF('[1]Leakage Tree Data'!H125&lt;&gt;"",'[1]Leakage Tree Data'!H125,"")</f>
        <v>61518209.9918823</v>
      </c>
      <c s="72" t="str">
        <f>IF('[1]Leakage Tree Data'!I125&lt;&gt;"",'[1]Leakage Tree Data'!I125,"")</f>
        <v>Internet</v>
      </c>
      <c s="72">
        <f>IF('[1]Leakage Tree Data'!J125&lt;&gt;"",'[1]Leakage Tree Data'!J125,"")</f>
      </c>
      <c s="72">
        <f>IF('[1]Leakage Tree Data'!K125&lt;&gt;"",'[1]Leakage Tree Data'!K125,"")</f>
      </c>
      <c s="72">
        <f>IF('[1]Leakage Tree Data'!L125&lt;&gt;"",'[1]Leakage Tree Data'!L125,"")</f>
      </c>
      <c s="72">
        <f>IF('[1]Leakage Tree Data'!M125&lt;&gt;"",'[1]Leakage Tree Data'!M125,"")</f>
      </c>
      <c s="72">
        <f>IF('[1]Leakage Tree Data'!N125&lt;&gt;"",'[1]Leakage Tree Data'!N125,"")</f>
      </c>
      <c s="72">
        <f>IF('[1]Leakage Tree Data'!O125&lt;&gt;"",'[1]Leakage Tree Data'!O125,"")</f>
      </c>
      <c s="72">
        <f>IF('[1]Leakage Tree Data'!P125&lt;&gt;"",'[1]Leakage Tree Data'!P125,"")</f>
      </c>
      <c s="72">
        <f>IF('[1]Leakage Tree Data'!Q125&lt;&gt;"",'[1]Leakage Tree Data'!Q125,"")</f>
      </c>
      <c s="72">
        <f>IF('[1]Leakage Tree Data'!R125&lt;&gt;"",'[1]Leakage Tree Data'!R125,"")</f>
        <v>1017625.85098267</v>
      </c>
      <c s="72">
        <f>IF('[1]Leakage Tree Data'!S125&lt;&gt;"",'[1]Leakage Tree Data'!S125,"")</f>
        <v>-108455.457061768</v>
      </c>
      <c s="72">
        <f>IF('[1]Leakage Tree Data'!T125&lt;&gt;"",'[1]Leakage Tree Data'!T125,"")</f>
        <v>-0.0952294297111428</v>
      </c>
      <c s="72">
        <f>IF('[1]Leakage Tree Data'!U125&lt;&gt;"",'[1]Leakage Tree Data'!U125,"")</f>
        <v>1126081.30804443</v>
      </c>
      <c s="72">
        <f>IF('[1]Leakage Tree Data'!V125&lt;&gt;"",'[1]Leakage Tree Data'!V125,"")</f>
        <v>0.0952294297111393</v>
      </c>
      <c s="72">
        <f>IF('[1]Leakage Tree Data'!W125&lt;&gt;"",'[1]Leakage Tree Data'!W125,"")</f>
        <v>-1855949.2237854</v>
      </c>
      <c s="72">
        <f>IF('[1]Leakage Tree Data'!X125&lt;&gt;"",'[1]Leakage Tree Data'!X125,"")</f>
      </c>
      <c s="72">
        <f>IF('[1]Leakage Tree Data'!Y125&lt;&gt;"",'[1]Leakage Tree Data'!Y125,"")</f>
      </c>
      <c s="72">
        <f>IF('[1]Leakage Tree Data'!Z125&lt;&gt;"",'[1]Leakage Tree Data'!Z125,"")</f>
      </c>
      <c s="72">
        <f>IF('[1]Leakage Tree Data'!AA125&lt;&gt;"",'[1]Leakage Tree Data'!AA125,"")</f>
      </c>
      <c s="72">
        <f>IF('[1]Leakage Tree Data'!AB125&lt;&gt;"",'[1]Leakage Tree Data'!AB125,"")</f>
      </c>
      <c s="72">
        <f>IF('[1]Leakage Tree Data'!AC125&lt;&gt;"",'[1]Leakage Tree Data'!AC125,"")</f>
      </c>
      <c s="72">
        <f>IF('[1]Leakage Tree Data'!AD125&lt;&gt;"",'[1]Leakage Tree Data'!AD125,"")</f>
      </c>
      <c s="72">
        <f>IF('[1]Leakage Tree Data'!AE125&lt;&gt;"",'[1]Leakage Tree Data'!AE125,"")</f>
      </c>
      <c s="73">
        <f t="shared" si="98"/>
      </c>
      <c s="73">
        <f t="shared" si="99"/>
      </c>
      <c s="73">
        <f t="shared" si="100"/>
      </c>
      <c s="73">
        <f t="shared" si="101"/>
      </c>
      <c s="74">
        <f t="shared" si="108"/>
      </c>
      <c s="74">
        <f t="shared" si="109"/>
      </c>
      <c s="69" t="str">
        <f t="shared" si="55"/>
        <v>Total US - Homeshopnet.com</v>
      </c>
      <c s="69" t="str">
        <f t="shared" si="56"/>
        <v>Total US - Internet</v>
      </c>
      <c s="77"/>
    </row>
    <row r="227" spans="1:141" s="92" customFormat="1" ht="15">
      <c r="A22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 t="shared" si="86"/>
      </c>
      <c s="76">
        <f t="shared" si="87"/>
      </c>
      <c s="75">
        <f t="shared" si="102"/>
      </c>
      <c s="76">
        <f t="shared" si="88"/>
      </c>
      <c s="75">
        <f t="shared" si="103"/>
      </c>
      <c s="76">
        <f t="shared" si="89"/>
      </c>
      <c s="75">
        <f t="shared" si="104"/>
      </c>
      <c s="76">
        <f t="shared" si="90"/>
      </c>
      <c s="75">
        <f t="shared" si="84"/>
      </c>
      <c s="76">
        <f t="shared" si="91"/>
      </c>
      <c s="75">
        <f t="shared" si="92"/>
      </c>
      <c s="76">
        <f t="shared" si="93"/>
      </c>
      <c s="75">
        <f t="shared" si="105"/>
      </c>
      <c s="76">
        <f t="shared" si="94"/>
      </c>
      <c s="75">
        <f t="shared" si="106"/>
      </c>
      <c s="76">
        <f t="shared" si="95"/>
      </c>
      <c s="75">
        <f t="shared" si="107"/>
      </c>
      <c s="76">
        <f t="shared" si="96"/>
      </c>
      <c s="75">
        <f t="shared" si="85"/>
      </c>
      <c s="76">
        <f t="shared" si="97"/>
      </c>
      <c s="65" t="str">
        <f t="shared" si="75"/>
        <v>Kmart.com</v>
      </c>
      <c s="65" t="str">
        <f t="shared" si="76"/>
        <v>Internet</v>
      </c>
      <c s="72" t="str">
        <f>IF('[1]Leakage Tree Data'!A126&lt;&gt;"",'[1]Leakage Tree Data'!A126,"")</f>
        <v>Total US - Kmart.com</v>
      </c>
      <c s="72" t="str">
        <f>IF('[1]Leakage Tree Data'!B126&lt;&gt;"",'[1]Leakage Tree Data'!B126,"")</f>
        <v>Total US - Internet</v>
      </c>
      <c s="72">
        <f>IF('[1]Leakage Tree Data'!C126&lt;&gt;"",'[1]Leakage Tree Data'!C126,"")</f>
        <v>121171760.292236</v>
      </c>
      <c s="72">
        <f>IF('[1]Leakage Tree Data'!D126&lt;&gt;"",'[1]Leakage Tree Data'!D126,"")</f>
        <v>2618421.93438721</v>
      </c>
      <c s="72">
        <f>IF('[1]Leakage Tree Data'!E126&lt;&gt;"",'[1]Leakage Tree Data'!E126,"")</f>
        <v>2.16091763301302</v>
      </c>
      <c s="72">
        <f>IF('[1]Leakage Tree Data'!F126&lt;&gt;"",'[1]Leakage Tree Data'!F126,"")</f>
        <v>118553338.357849</v>
      </c>
      <c s="72">
        <f>IF('[1]Leakage Tree Data'!G126&lt;&gt;"",'[1]Leakage Tree Data'!G126,"")</f>
        <v>97.839082366987</v>
      </c>
      <c s="72">
        <f>IF('[1]Leakage Tree Data'!H126&lt;&gt;"",'[1]Leakage Tree Data'!H126,"")</f>
        <v>61518209.9918823</v>
      </c>
      <c s="72" t="str">
        <f>IF('[1]Leakage Tree Data'!I126&lt;&gt;"",'[1]Leakage Tree Data'!I126,"")</f>
        <v>Internet</v>
      </c>
      <c s="72">
        <f>IF('[1]Leakage Tree Data'!J126&lt;&gt;"",'[1]Leakage Tree Data'!J126,"")</f>
      </c>
      <c s="72">
        <f>IF('[1]Leakage Tree Data'!K126&lt;&gt;"",'[1]Leakage Tree Data'!K126,"")</f>
      </c>
      <c s="72">
        <f>IF('[1]Leakage Tree Data'!L126&lt;&gt;"",'[1]Leakage Tree Data'!L126,"")</f>
      </c>
      <c s="72">
        <f>IF('[1]Leakage Tree Data'!M126&lt;&gt;"",'[1]Leakage Tree Data'!M126,"")</f>
      </c>
      <c s="72">
        <f>IF('[1]Leakage Tree Data'!N126&lt;&gt;"",'[1]Leakage Tree Data'!N126,"")</f>
      </c>
      <c s="72">
        <f>IF('[1]Leakage Tree Data'!O126&lt;&gt;"",'[1]Leakage Tree Data'!O126,"")</f>
        <v>5.12967829161044</v>
      </c>
      <c s="72">
        <f>IF('[1]Leakage Tree Data'!P126&lt;&gt;"",'[1]Leakage Tree Data'!P126,"")</f>
        <v>259917.685345998</v>
      </c>
      <c s="72">
        <f>IF('[1]Leakage Tree Data'!Q126&lt;&gt;"",'[1]Leakage Tree Data'!Q126,"")</f>
      </c>
      <c s="72">
        <f>IF('[1]Leakage Tree Data'!R126&lt;&gt;"",'[1]Leakage Tree Data'!R126,"")</f>
        <v>1017625.85098267</v>
      </c>
      <c s="72">
        <f>IF('[1]Leakage Tree Data'!S126&lt;&gt;"",'[1]Leakage Tree Data'!S126,"")</f>
        <v>-2474997.45904541</v>
      </c>
      <c s="72">
        <f>IF('[1]Leakage Tree Data'!T126&lt;&gt;"",'[1]Leakage Tree Data'!T126,"")</f>
        <v>-2.07815363749987</v>
      </c>
      <c s="72">
        <f>IF('[1]Leakage Tree Data'!U126&lt;&gt;"",'[1]Leakage Tree Data'!U126,"")</f>
        <v>3492623.31002808</v>
      </c>
      <c s="72">
        <f>IF('[1]Leakage Tree Data'!V126&lt;&gt;"",'[1]Leakage Tree Data'!V126,"")</f>
        <v>2.07815363749987</v>
      </c>
      <c s="72">
        <f>IF('[1]Leakage Tree Data'!W126&lt;&gt;"",'[1]Leakage Tree Data'!W126,"")</f>
        <v>-1855949.2237854</v>
      </c>
      <c s="72">
        <f>IF('[1]Leakage Tree Data'!X126&lt;&gt;"",'[1]Leakage Tree Data'!X126,"")</f>
      </c>
      <c s="72">
        <f>IF('[1]Leakage Tree Data'!Y126&lt;&gt;"",'[1]Leakage Tree Data'!Y126,"")</f>
      </c>
      <c s="72">
        <f>IF('[1]Leakage Tree Data'!Z126&lt;&gt;"",'[1]Leakage Tree Data'!Z126,"")</f>
      </c>
      <c s="72">
        <f>IF('[1]Leakage Tree Data'!AA126&lt;&gt;"",'[1]Leakage Tree Data'!AA126,"")</f>
      </c>
      <c s="72">
        <f>IF('[1]Leakage Tree Data'!AB126&lt;&gt;"",'[1]Leakage Tree Data'!AB126,"")</f>
      </c>
      <c s="72">
        <f>IF('[1]Leakage Tree Data'!AC126&lt;&gt;"",'[1]Leakage Tree Data'!AC126,"")</f>
      </c>
      <c s="72">
        <f>IF('[1]Leakage Tree Data'!AD126&lt;&gt;"",'[1]Leakage Tree Data'!AD126,"")</f>
        <v>-1.23278726272779</v>
      </c>
      <c s="72">
        <f>IF('[1]Leakage Tree Data'!AE126&lt;&gt;"",'[1]Leakage Tree Data'!AE126,"")</f>
      </c>
      <c s="73">
        <f t="shared" si="98"/>
      </c>
      <c s="73">
        <f t="shared" si="99"/>
      </c>
      <c s="73">
        <f t="shared" si="100"/>
      </c>
      <c s="73">
        <f t="shared" si="101"/>
      </c>
      <c s="74">
        <f t="shared" si="108"/>
      </c>
      <c s="74">
        <f t="shared" si="109"/>
      </c>
      <c s="69" t="str">
        <f t="shared" si="55"/>
        <v>Total US - Kmart.com</v>
      </c>
      <c s="69" t="str">
        <f t="shared" si="56"/>
        <v>Total US - Internet</v>
      </c>
      <c s="77"/>
    </row>
    <row r="228" spans="1:141" s="92" customFormat="1" ht="15">
      <c r="A22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 t="shared" si="86"/>
      </c>
      <c s="76">
        <f t="shared" si="87"/>
      </c>
      <c s="75">
        <f t="shared" si="102"/>
      </c>
      <c s="76">
        <f t="shared" si="88"/>
      </c>
      <c s="75">
        <f t="shared" si="103"/>
      </c>
      <c s="76">
        <f t="shared" si="89"/>
      </c>
      <c s="75">
        <f t="shared" si="104"/>
      </c>
      <c s="76">
        <f t="shared" si="90"/>
      </c>
      <c s="75">
        <f t="shared" si="84"/>
      </c>
      <c s="76">
        <f t="shared" si="91"/>
      </c>
      <c s="75">
        <f t="shared" si="92"/>
      </c>
      <c s="76">
        <f t="shared" si="93"/>
      </c>
      <c s="75">
        <f t="shared" si="105"/>
      </c>
      <c s="76">
        <f t="shared" si="94"/>
      </c>
      <c s="75">
        <f t="shared" si="106"/>
      </c>
      <c s="76">
        <f t="shared" si="95"/>
      </c>
      <c s="75">
        <f t="shared" si="107"/>
      </c>
      <c s="76">
        <f t="shared" si="96"/>
      </c>
      <c s="75">
        <f t="shared" si="85"/>
      </c>
      <c s="76">
        <f t="shared" si="97"/>
      </c>
      <c s="65" t="str">
        <f t="shared" si="75"/>
        <v>Meijer.com</v>
      </c>
      <c s="65" t="str">
        <f t="shared" si="76"/>
        <v>Internet</v>
      </c>
      <c s="72" t="str">
        <f>IF('[1]Leakage Tree Data'!A127&lt;&gt;"",'[1]Leakage Tree Data'!A127,"")</f>
        <v>Total US - Meijer.com</v>
      </c>
      <c s="72" t="str">
        <f>IF('[1]Leakage Tree Data'!B127&lt;&gt;"",'[1]Leakage Tree Data'!B127,"")</f>
        <v>Total US - Internet</v>
      </c>
      <c s="72">
        <f>IF('[1]Leakage Tree Data'!C127&lt;&gt;"",'[1]Leakage Tree Data'!C127,"")</f>
        <v>121171760.292236</v>
      </c>
      <c s="72">
        <f>IF('[1]Leakage Tree Data'!D127&lt;&gt;"",'[1]Leakage Tree Data'!D127,"")</f>
        <v>900783.834228516</v>
      </c>
      <c s="72">
        <f>IF('[1]Leakage Tree Data'!E127&lt;&gt;"",'[1]Leakage Tree Data'!E127,"")</f>
        <v>0.743394196845905</v>
      </c>
      <c s="72">
        <f>IF('[1]Leakage Tree Data'!F127&lt;&gt;"",'[1]Leakage Tree Data'!F127,"")</f>
        <v>120270976.458008</v>
      </c>
      <c s="72">
        <f>IF('[1]Leakage Tree Data'!G127&lt;&gt;"",'[1]Leakage Tree Data'!G127,"")</f>
        <v>99.2566058031541</v>
      </c>
      <c s="72">
        <f>IF('[1]Leakage Tree Data'!H127&lt;&gt;"",'[1]Leakage Tree Data'!H127,"")</f>
        <v>61518209.9918823</v>
      </c>
      <c s="72" t="str">
        <f>IF('[1]Leakage Tree Data'!I127&lt;&gt;"",'[1]Leakage Tree Data'!I127,"")</f>
        <v>Internet</v>
      </c>
      <c s="72">
        <f>IF('[1]Leakage Tree Data'!J127&lt;&gt;"",'[1]Leakage Tree Data'!J127,"")</f>
      </c>
      <c s="72">
        <f>IF('[1]Leakage Tree Data'!K127&lt;&gt;"",'[1]Leakage Tree Data'!K127,"")</f>
      </c>
      <c s="72">
        <f>IF('[1]Leakage Tree Data'!L127&lt;&gt;"",'[1]Leakage Tree Data'!L127,"")</f>
      </c>
      <c s="72">
        <f>IF('[1]Leakage Tree Data'!M127&lt;&gt;"",'[1]Leakage Tree Data'!M127,"")</f>
      </c>
      <c s="72">
        <f>IF('[1]Leakage Tree Data'!N127&lt;&gt;"",'[1]Leakage Tree Data'!N127,"")</f>
      </c>
      <c s="72">
        <f>IF('[1]Leakage Tree Data'!O127&lt;&gt;"",'[1]Leakage Tree Data'!O127,"")</f>
        <v>13.4042821471982</v>
      </c>
      <c s="72">
        <f>IF('[1]Leakage Tree Data'!P127&lt;&gt;"",'[1]Leakage Tree Data'!P127,"")</f>
        <v>115900.441166089</v>
      </c>
      <c s="72">
        <f>IF('[1]Leakage Tree Data'!Q127&lt;&gt;"",'[1]Leakage Tree Data'!Q127,"")</f>
      </c>
      <c s="72">
        <f>IF('[1]Leakage Tree Data'!R127&lt;&gt;"",'[1]Leakage Tree Data'!R127,"")</f>
        <v>1017625.85098267</v>
      </c>
      <c s="72">
        <f>IF('[1]Leakage Tree Data'!S127&lt;&gt;"",'[1]Leakage Tree Data'!S127,"")</f>
        <v>127350.116455078</v>
      </c>
      <c s="72">
        <f>IF('[1]Leakage Tree Data'!T127&lt;&gt;"",'[1]Leakage Tree Data'!T127,"")</f>
        <v>0.0996929031949667</v>
      </c>
      <c s="72">
        <f>IF('[1]Leakage Tree Data'!U127&lt;&gt;"",'[1]Leakage Tree Data'!U127,"")</f>
        <v>890275.734527588</v>
      </c>
      <c s="72">
        <f>IF('[1]Leakage Tree Data'!V127&lt;&gt;"",'[1]Leakage Tree Data'!V127,"")</f>
        <v>-0.0996929031949634</v>
      </c>
      <c s="72">
        <f>IF('[1]Leakage Tree Data'!W127&lt;&gt;"",'[1]Leakage Tree Data'!W127,"")</f>
        <v>-1855949.2237854</v>
      </c>
      <c s="72">
        <f>IF('[1]Leakage Tree Data'!X127&lt;&gt;"",'[1]Leakage Tree Data'!X127,"")</f>
      </c>
      <c s="72">
        <f>IF('[1]Leakage Tree Data'!Y127&lt;&gt;"",'[1]Leakage Tree Data'!Y127,"")</f>
      </c>
      <c s="72">
        <f>IF('[1]Leakage Tree Data'!Z127&lt;&gt;"",'[1]Leakage Tree Data'!Z127,"")</f>
      </c>
      <c s="72">
        <f>IF('[1]Leakage Tree Data'!AA127&lt;&gt;"",'[1]Leakage Tree Data'!AA127,"")</f>
      </c>
      <c s="72">
        <f>IF('[1]Leakage Tree Data'!AB127&lt;&gt;"",'[1]Leakage Tree Data'!AB127,"")</f>
      </c>
      <c s="72">
        <f>IF('[1]Leakage Tree Data'!AC127&lt;&gt;"",'[1]Leakage Tree Data'!AC127,"")</f>
      </c>
      <c s="72">
        <f>IF('[1]Leakage Tree Data'!AD127&lt;&gt;"",'[1]Leakage Tree Data'!AD127,"")</f>
        <v>-0.504546757849878</v>
      </c>
      <c s="72">
        <f>IF('[1]Leakage Tree Data'!AE127&lt;&gt;"",'[1]Leakage Tree Data'!AE127,"")</f>
      </c>
      <c s="73">
        <f t="shared" si="98"/>
      </c>
      <c s="73">
        <f t="shared" si="99"/>
      </c>
      <c s="73">
        <f t="shared" si="100"/>
      </c>
      <c s="73">
        <f t="shared" si="101"/>
      </c>
      <c s="74">
        <f t="shared" si="108"/>
      </c>
      <c s="74">
        <f t="shared" si="109"/>
      </c>
      <c s="69" t="str">
        <f t="shared" si="55"/>
        <v>Total US - Meijer.com</v>
      </c>
      <c s="69" t="str">
        <f t="shared" si="56"/>
        <v>Total US - Internet</v>
      </c>
      <c s="77"/>
    </row>
    <row r="229" spans="1:141" s="92" customFormat="1" ht="15">
      <c r="A22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 t="shared" si="86"/>
      </c>
      <c s="76">
        <f t="shared" si="87"/>
      </c>
      <c s="75">
        <f t="shared" si="102"/>
      </c>
      <c s="76">
        <f t="shared" si="88"/>
      </c>
      <c s="75">
        <f t="shared" si="103"/>
      </c>
      <c s="76">
        <f t="shared" si="89"/>
      </c>
      <c s="75">
        <f t="shared" si="104"/>
      </c>
      <c s="76">
        <f t="shared" si="90"/>
      </c>
      <c s="75">
        <f t="shared" si="84"/>
      </c>
      <c s="76">
        <f t="shared" si="91"/>
      </c>
      <c s="75">
        <f t="shared" si="92"/>
      </c>
      <c s="76">
        <f t="shared" si="93"/>
      </c>
      <c s="75">
        <f t="shared" si="105"/>
      </c>
      <c s="76">
        <f t="shared" si="94"/>
      </c>
      <c s="75">
        <f t="shared" si="106"/>
      </c>
      <c s="76">
        <f t="shared" si="95"/>
      </c>
      <c s="75">
        <f t="shared" si="107"/>
      </c>
      <c s="76">
        <f t="shared" si="96"/>
      </c>
      <c s="75">
        <f t="shared" si="85"/>
      </c>
      <c s="76">
        <f t="shared" si="97"/>
      </c>
      <c s="65" t="str">
        <f t="shared" si="75"/>
        <v>Officedepot.com</v>
      </c>
      <c s="65" t="str">
        <f t="shared" si="76"/>
        <v>Internet</v>
      </c>
      <c s="72" t="str">
        <f>IF('[1]Leakage Tree Data'!A128&lt;&gt;"",'[1]Leakage Tree Data'!A128,"")</f>
        <v>Total US - Officedepot.com</v>
      </c>
      <c s="72" t="str">
        <f>IF('[1]Leakage Tree Data'!B128&lt;&gt;"",'[1]Leakage Tree Data'!B128,"")</f>
        <v>Total US - Internet</v>
      </c>
      <c s="72">
        <f>IF('[1]Leakage Tree Data'!C128&lt;&gt;"",'[1]Leakage Tree Data'!C128,"")</f>
        <v>121171760.292236</v>
      </c>
      <c s="72">
        <f>IF('[1]Leakage Tree Data'!D128&lt;&gt;"",'[1]Leakage Tree Data'!D128,"")</f>
        <v>767893.266235352</v>
      </c>
      <c s="72">
        <f>IF('[1]Leakage Tree Data'!E128&lt;&gt;"",'[1]Leakage Tree Data'!E128,"")</f>
        <v>0.633722960187574</v>
      </c>
      <c s="72">
        <f>IF('[1]Leakage Tree Data'!F128&lt;&gt;"",'[1]Leakage Tree Data'!F128,"")</f>
        <v>120403867.026001</v>
      </c>
      <c s="72">
        <f>IF('[1]Leakage Tree Data'!G128&lt;&gt;"",'[1]Leakage Tree Data'!G128,"")</f>
        <v>99.3662770398124</v>
      </c>
      <c s="72">
        <f>IF('[1]Leakage Tree Data'!H128&lt;&gt;"",'[1]Leakage Tree Data'!H128,"")</f>
        <v>61518209.9918823</v>
      </c>
      <c s="72" t="str">
        <f>IF('[1]Leakage Tree Data'!I128&lt;&gt;"",'[1]Leakage Tree Data'!I128,"")</f>
        <v>Internet</v>
      </c>
      <c s="72">
        <f>IF('[1]Leakage Tree Data'!J128&lt;&gt;"",'[1]Leakage Tree Data'!J128,"")</f>
      </c>
      <c s="72">
        <f>IF('[1]Leakage Tree Data'!K128&lt;&gt;"",'[1]Leakage Tree Data'!K128,"")</f>
      </c>
      <c s="72">
        <f>IF('[1]Leakage Tree Data'!L128&lt;&gt;"",'[1]Leakage Tree Data'!L128,"")</f>
      </c>
      <c s="72">
        <f>IF('[1]Leakage Tree Data'!M128&lt;&gt;"",'[1]Leakage Tree Data'!M128,"")</f>
      </c>
      <c s="72">
        <f>IF('[1]Leakage Tree Data'!N128&lt;&gt;"",'[1]Leakage Tree Data'!N128,"")</f>
      </c>
      <c s="72">
        <f>IF('[1]Leakage Tree Data'!O128&lt;&gt;"",'[1]Leakage Tree Data'!O128,"")</f>
      </c>
      <c s="72">
        <f>IF('[1]Leakage Tree Data'!P128&lt;&gt;"",'[1]Leakage Tree Data'!P128,"")</f>
      </c>
      <c s="72">
        <f>IF('[1]Leakage Tree Data'!Q128&lt;&gt;"",'[1]Leakage Tree Data'!Q128,"")</f>
      </c>
      <c s="72">
        <f>IF('[1]Leakage Tree Data'!R128&lt;&gt;"",'[1]Leakage Tree Data'!R128,"")</f>
        <v>1017625.85098267</v>
      </c>
      <c s="72">
        <f>IF('[1]Leakage Tree Data'!S128&lt;&gt;"",'[1]Leakage Tree Data'!S128,"")</f>
        <v>9353.68124389648</v>
      </c>
      <c s="72">
        <f>IF('[1]Leakage Tree Data'!T128&lt;&gt;"",'[1]Leakage Tree Data'!T128,"")</f>
        <v>0.00241752195288414</v>
      </c>
      <c s="72">
        <f>IF('[1]Leakage Tree Data'!U128&lt;&gt;"",'[1]Leakage Tree Data'!U128,"")</f>
        <v>1008272.16973877</v>
      </c>
      <c s="72">
        <f>IF('[1]Leakage Tree Data'!V128&lt;&gt;"",'[1]Leakage Tree Data'!V128,"")</f>
        <v>-0.00241752195287859</v>
      </c>
      <c s="72">
        <f>IF('[1]Leakage Tree Data'!W128&lt;&gt;"",'[1]Leakage Tree Data'!W128,"")</f>
        <v>-1855949.2237854</v>
      </c>
      <c s="72">
        <f>IF('[1]Leakage Tree Data'!X128&lt;&gt;"",'[1]Leakage Tree Data'!X128,"")</f>
      </c>
      <c s="72">
        <f>IF('[1]Leakage Tree Data'!Y128&lt;&gt;"",'[1]Leakage Tree Data'!Y128,"")</f>
      </c>
      <c s="72">
        <f>IF('[1]Leakage Tree Data'!Z128&lt;&gt;"",'[1]Leakage Tree Data'!Z128,"")</f>
      </c>
      <c s="72">
        <f>IF('[1]Leakage Tree Data'!AA128&lt;&gt;"",'[1]Leakage Tree Data'!AA128,"")</f>
      </c>
      <c s="72">
        <f>IF('[1]Leakage Tree Data'!AB128&lt;&gt;"",'[1]Leakage Tree Data'!AB128,"")</f>
      </c>
      <c s="72">
        <f>IF('[1]Leakage Tree Data'!AC128&lt;&gt;"",'[1]Leakage Tree Data'!AC128,"")</f>
      </c>
      <c s="72">
        <f>IF('[1]Leakage Tree Data'!AD128&lt;&gt;"",'[1]Leakage Tree Data'!AD128,"")</f>
      </c>
      <c s="72">
        <f>IF('[1]Leakage Tree Data'!AE128&lt;&gt;"",'[1]Leakage Tree Data'!AE128,"")</f>
      </c>
      <c s="73">
        <f t="shared" si="98"/>
      </c>
      <c s="73">
        <f t="shared" si="99"/>
      </c>
      <c s="73">
        <f t="shared" si="100"/>
      </c>
      <c s="73">
        <f t="shared" si="101"/>
      </c>
      <c s="74">
        <f t="shared" si="108"/>
      </c>
      <c s="74">
        <f t="shared" si="109"/>
      </c>
      <c s="69" t="str">
        <f t="shared" si="55"/>
        <v>Total US - Officedepot.com</v>
      </c>
      <c s="69" t="str">
        <f t="shared" si="56"/>
        <v>Total US - Internet</v>
      </c>
      <c s="77"/>
    </row>
    <row r="230" spans="1:141" s="92" customFormat="1" ht="15">
      <c r="A23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 t="shared" si="86"/>
      </c>
      <c s="76">
        <f t="shared" si="87"/>
      </c>
      <c s="75">
        <f t="shared" si="102"/>
      </c>
      <c s="76">
        <f t="shared" si="88"/>
      </c>
      <c s="75">
        <f t="shared" si="103"/>
      </c>
      <c s="76">
        <f t="shared" si="89"/>
      </c>
      <c s="75">
        <f t="shared" si="104"/>
      </c>
      <c s="76">
        <f t="shared" si="90"/>
      </c>
      <c s="75">
        <f t="shared" si="84"/>
      </c>
      <c s="76">
        <f t="shared" si="91"/>
      </c>
      <c s="75">
        <f t="shared" si="92"/>
      </c>
      <c s="76">
        <f t="shared" si="93"/>
      </c>
      <c s="75">
        <f t="shared" si="105"/>
      </c>
      <c s="76">
        <f t="shared" si="94"/>
      </c>
      <c s="75">
        <f t="shared" si="106"/>
      </c>
      <c s="76">
        <f t="shared" si="95"/>
      </c>
      <c s="75">
        <f t="shared" si="107"/>
      </c>
      <c s="76">
        <f t="shared" si="96"/>
      </c>
      <c s="75">
        <f t="shared" si="85"/>
      </c>
      <c s="76">
        <f t="shared" si="97"/>
      </c>
      <c s="65" t="str">
        <f t="shared" si="75"/>
        <v>Peapod.com</v>
      </c>
      <c s="65" t="str">
        <f t="shared" si="76"/>
        <v>Internet</v>
      </c>
      <c s="72" t="str">
        <f>IF('[1]Leakage Tree Data'!A129&lt;&gt;"",'[1]Leakage Tree Data'!A129,"")</f>
        <v>Total US - Peapod.com</v>
      </c>
      <c s="72" t="str">
        <f>IF('[1]Leakage Tree Data'!B129&lt;&gt;"",'[1]Leakage Tree Data'!B129,"")</f>
        <v>Total US - Internet</v>
      </c>
      <c s="72">
        <f>IF('[1]Leakage Tree Data'!C129&lt;&gt;"",'[1]Leakage Tree Data'!C129,"")</f>
        <v>121171760.292236</v>
      </c>
      <c s="72">
        <f>IF('[1]Leakage Tree Data'!D129&lt;&gt;"",'[1]Leakage Tree Data'!D129,"")</f>
        <v>340113.184143066</v>
      </c>
      <c s="72">
        <f>IF('[1]Leakage Tree Data'!E129&lt;&gt;"",'[1]Leakage Tree Data'!E129,"")</f>
        <v>0.280686839345073</v>
      </c>
      <c s="72">
        <f>IF('[1]Leakage Tree Data'!F129&lt;&gt;"",'[1]Leakage Tree Data'!F129,"")</f>
        <v>120831647.108093</v>
      </c>
      <c s="72">
        <f>IF('[1]Leakage Tree Data'!G129&lt;&gt;"",'[1]Leakage Tree Data'!G129,"")</f>
        <v>99.7193131606549</v>
      </c>
      <c s="72">
        <f>IF('[1]Leakage Tree Data'!H129&lt;&gt;"",'[1]Leakage Tree Data'!H129,"")</f>
        <v>61518209.9918823</v>
      </c>
      <c s="72" t="str">
        <f>IF('[1]Leakage Tree Data'!I129&lt;&gt;"",'[1]Leakage Tree Data'!I129,"")</f>
        <v>Internet</v>
      </c>
      <c s="72">
        <f>IF('[1]Leakage Tree Data'!J129&lt;&gt;"",'[1]Leakage Tree Data'!J129,"")</f>
      </c>
      <c s="72">
        <f>IF('[1]Leakage Tree Data'!K129&lt;&gt;"",'[1]Leakage Tree Data'!K129,"")</f>
      </c>
      <c s="72">
        <f>IF('[1]Leakage Tree Data'!L129&lt;&gt;"",'[1]Leakage Tree Data'!L129,"")</f>
      </c>
      <c s="72">
        <f>IF('[1]Leakage Tree Data'!M129&lt;&gt;"",'[1]Leakage Tree Data'!M129,"")</f>
      </c>
      <c s="72">
        <f>IF('[1]Leakage Tree Data'!N129&lt;&gt;"",'[1]Leakage Tree Data'!N129,"")</f>
      </c>
      <c s="72">
        <f>IF('[1]Leakage Tree Data'!O129&lt;&gt;"",'[1]Leakage Tree Data'!O129,"")</f>
      </c>
      <c s="72">
        <f>IF('[1]Leakage Tree Data'!P129&lt;&gt;"",'[1]Leakage Tree Data'!P129,"")</f>
      </c>
      <c s="72">
        <f>IF('[1]Leakage Tree Data'!Q129&lt;&gt;"",'[1]Leakage Tree Data'!Q129,"")</f>
      </c>
      <c s="72">
        <f>IF('[1]Leakage Tree Data'!R129&lt;&gt;"",'[1]Leakage Tree Data'!R129,"")</f>
        <v>1017625.85098267</v>
      </c>
      <c s="72">
        <f>IF('[1]Leakage Tree Data'!S129&lt;&gt;"",'[1]Leakage Tree Data'!S129,"")</f>
        <v>-43033.837890625</v>
      </c>
      <c s="72">
        <f>IF('[1]Leakage Tree Data'!T129&lt;&gt;"",'[1]Leakage Tree Data'!T129,"")</f>
        <v>-0.0381927596095692</v>
      </c>
      <c s="72">
        <f>IF('[1]Leakage Tree Data'!U129&lt;&gt;"",'[1]Leakage Tree Data'!U129,"")</f>
        <v>1060659.68887329</v>
      </c>
      <c s="72">
        <f>IF('[1]Leakage Tree Data'!V129&lt;&gt;"",'[1]Leakage Tree Data'!V129,"")</f>
        <v>0.0381927596095579</v>
      </c>
      <c s="72">
        <f>IF('[1]Leakage Tree Data'!W129&lt;&gt;"",'[1]Leakage Tree Data'!W129,"")</f>
        <v>-1855949.2237854</v>
      </c>
      <c s="72">
        <f>IF('[1]Leakage Tree Data'!X129&lt;&gt;"",'[1]Leakage Tree Data'!X129,"")</f>
      </c>
      <c s="72">
        <f>IF('[1]Leakage Tree Data'!Y129&lt;&gt;"",'[1]Leakage Tree Data'!Y129,"")</f>
      </c>
      <c s="72">
        <f>IF('[1]Leakage Tree Data'!Z129&lt;&gt;"",'[1]Leakage Tree Data'!Z129,"")</f>
      </c>
      <c s="72">
        <f>IF('[1]Leakage Tree Data'!AA129&lt;&gt;"",'[1]Leakage Tree Data'!AA129,"")</f>
      </c>
      <c s="72">
        <f>IF('[1]Leakage Tree Data'!AB129&lt;&gt;"",'[1]Leakage Tree Data'!AB129,"")</f>
      </c>
      <c s="72">
        <f>IF('[1]Leakage Tree Data'!AC129&lt;&gt;"",'[1]Leakage Tree Data'!AC129,"")</f>
      </c>
      <c s="72">
        <f>IF('[1]Leakage Tree Data'!AD129&lt;&gt;"",'[1]Leakage Tree Data'!AD129,"")</f>
      </c>
      <c s="72">
        <f>IF('[1]Leakage Tree Data'!AE129&lt;&gt;"",'[1]Leakage Tree Data'!AE129,"")</f>
      </c>
      <c s="73">
        <f t="shared" si="98"/>
      </c>
      <c s="73">
        <f t="shared" si="99"/>
      </c>
      <c s="73">
        <f t="shared" si="100"/>
      </c>
      <c s="73">
        <f t="shared" si="101"/>
      </c>
      <c s="74">
        <f t="shared" si="108"/>
      </c>
      <c s="74">
        <f t="shared" si="109"/>
      </c>
      <c s="69" t="str">
        <f t="shared" si="55"/>
        <v>Total US - Peapod.com</v>
      </c>
      <c s="69" t="str">
        <f t="shared" si="56"/>
        <v>Total US - Internet</v>
      </c>
      <c s="77"/>
    </row>
    <row r="231" spans="1:141" s="92" customFormat="1" ht="15">
      <c r="A23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 t="shared" si="86"/>
      </c>
      <c s="76">
        <f t="shared" si="87"/>
      </c>
      <c s="75">
        <f t="shared" si="102"/>
      </c>
      <c s="76">
        <f t="shared" si="88"/>
      </c>
      <c s="75">
        <f t="shared" si="103"/>
      </c>
      <c s="76">
        <f t="shared" si="89"/>
      </c>
      <c s="75">
        <f t="shared" si="104"/>
      </c>
      <c s="76">
        <f t="shared" si="90"/>
      </c>
      <c s="75">
        <f t="shared" si="84"/>
      </c>
      <c s="76">
        <f t="shared" si="91"/>
      </c>
      <c s="75">
        <f t="shared" si="92"/>
      </c>
      <c s="76">
        <f t="shared" si="93"/>
      </c>
      <c s="75">
        <f t="shared" si="105"/>
      </c>
      <c s="76">
        <f t="shared" si="94"/>
      </c>
      <c s="75">
        <f t="shared" si="106"/>
      </c>
      <c s="76">
        <f t="shared" si="95"/>
      </c>
      <c s="75">
        <f t="shared" si="107"/>
      </c>
      <c s="76">
        <f t="shared" si="96"/>
      </c>
      <c s="75">
        <f t="shared" si="85"/>
      </c>
      <c s="76">
        <f t="shared" si="97"/>
      </c>
      <c s="65" t="str">
        <f t="shared" si="75"/>
        <v>Petco.com</v>
      </c>
      <c s="65" t="str">
        <f t="shared" si="76"/>
        <v>Internet</v>
      </c>
      <c s="72" t="str">
        <f>IF('[1]Leakage Tree Data'!A130&lt;&gt;"",'[1]Leakage Tree Data'!A130,"")</f>
        <v>Total US - Petco.com</v>
      </c>
      <c s="72" t="str">
        <f>IF('[1]Leakage Tree Data'!B130&lt;&gt;"",'[1]Leakage Tree Data'!B130,"")</f>
        <v>Total US - Internet</v>
      </c>
      <c s="72">
        <f>IF('[1]Leakage Tree Data'!C130&lt;&gt;"",'[1]Leakage Tree Data'!C130,"")</f>
        <v>121171760.292236</v>
      </c>
      <c s="72">
        <f>IF('[1]Leakage Tree Data'!D130&lt;&gt;"",'[1]Leakage Tree Data'!D130,"")</f>
        <v>700358.380493164</v>
      </c>
      <c s="72">
        <f>IF('[1]Leakage Tree Data'!E130&lt;&gt;"",'[1]Leakage Tree Data'!E130,"")</f>
        <v>0.57798812099789</v>
      </c>
      <c s="72">
        <f>IF('[1]Leakage Tree Data'!F130&lt;&gt;"",'[1]Leakage Tree Data'!F130,"")</f>
        <v>120471401.911743</v>
      </c>
      <c s="72">
        <f>IF('[1]Leakage Tree Data'!G130&lt;&gt;"",'[1]Leakage Tree Data'!G130,"")</f>
        <v>99.4220118790021</v>
      </c>
      <c s="72">
        <f>IF('[1]Leakage Tree Data'!H130&lt;&gt;"",'[1]Leakage Tree Data'!H130,"")</f>
        <v>61518209.9918823</v>
      </c>
      <c s="72" t="str">
        <f>IF('[1]Leakage Tree Data'!I130&lt;&gt;"",'[1]Leakage Tree Data'!I130,"")</f>
        <v>Internet</v>
      </c>
      <c s="72">
        <f>IF('[1]Leakage Tree Data'!J130&lt;&gt;"",'[1]Leakage Tree Data'!J130,"")</f>
      </c>
      <c s="72">
        <f>IF('[1]Leakage Tree Data'!K130&lt;&gt;"",'[1]Leakage Tree Data'!K130,"")</f>
      </c>
      <c s="72">
        <f>IF('[1]Leakage Tree Data'!L130&lt;&gt;"",'[1]Leakage Tree Data'!L130,"")</f>
      </c>
      <c s="72">
        <f>IF('[1]Leakage Tree Data'!M130&lt;&gt;"",'[1]Leakage Tree Data'!M130,"")</f>
      </c>
      <c s="72">
        <f>IF('[1]Leakage Tree Data'!N130&lt;&gt;"",'[1]Leakage Tree Data'!N130,"")</f>
      </c>
      <c s="72">
        <f>IF('[1]Leakage Tree Data'!O130&lt;&gt;"",'[1]Leakage Tree Data'!O130,"")</f>
      </c>
      <c s="72">
        <f>IF('[1]Leakage Tree Data'!P130&lt;&gt;"",'[1]Leakage Tree Data'!P130,"")</f>
      </c>
      <c s="72">
        <f>IF('[1]Leakage Tree Data'!Q130&lt;&gt;"",'[1]Leakage Tree Data'!Q130,"")</f>
      </c>
      <c s="72">
        <f>IF('[1]Leakage Tree Data'!R130&lt;&gt;"",'[1]Leakage Tree Data'!R130,"")</f>
        <v>1017625.85098267</v>
      </c>
      <c s="72">
        <f>IF('[1]Leakage Tree Data'!S130&lt;&gt;"",'[1]Leakage Tree Data'!S130,"")</f>
        <v>-35027.3096923828</v>
      </c>
      <c s="72">
        <f>IF('[1]Leakage Tree Data'!T130&lt;&gt;"",'[1]Leakage Tree Data'!T130,"")</f>
        <v>-0.034047156527325</v>
      </c>
      <c s="72">
        <f>IF('[1]Leakage Tree Data'!U130&lt;&gt;"",'[1]Leakage Tree Data'!U130,"")</f>
        <v>1052653.16067505</v>
      </c>
      <c s="72">
        <f>IF('[1]Leakage Tree Data'!V130&lt;&gt;"",'[1]Leakage Tree Data'!V130,"")</f>
        <v>0.0340471565273219</v>
      </c>
      <c s="72">
        <f>IF('[1]Leakage Tree Data'!W130&lt;&gt;"",'[1]Leakage Tree Data'!W130,"")</f>
        <v>-1855949.2237854</v>
      </c>
      <c s="72">
        <f>IF('[1]Leakage Tree Data'!X130&lt;&gt;"",'[1]Leakage Tree Data'!X130,"")</f>
      </c>
      <c s="72">
        <f>IF('[1]Leakage Tree Data'!Y130&lt;&gt;"",'[1]Leakage Tree Data'!Y130,"")</f>
      </c>
      <c s="72">
        <f>IF('[1]Leakage Tree Data'!Z130&lt;&gt;"",'[1]Leakage Tree Data'!Z130,"")</f>
      </c>
      <c s="72">
        <f>IF('[1]Leakage Tree Data'!AA130&lt;&gt;"",'[1]Leakage Tree Data'!AA130,"")</f>
      </c>
      <c s="72">
        <f>IF('[1]Leakage Tree Data'!AB130&lt;&gt;"",'[1]Leakage Tree Data'!AB130,"")</f>
      </c>
      <c s="72">
        <f>IF('[1]Leakage Tree Data'!AC130&lt;&gt;"",'[1]Leakage Tree Data'!AC130,"")</f>
      </c>
      <c s="72">
        <f>IF('[1]Leakage Tree Data'!AD130&lt;&gt;"",'[1]Leakage Tree Data'!AD130,"")</f>
      </c>
      <c s="72">
        <f>IF('[1]Leakage Tree Data'!AE130&lt;&gt;"",'[1]Leakage Tree Data'!AE130,"")</f>
      </c>
      <c s="73">
        <f t="shared" si="98"/>
      </c>
      <c s="73">
        <f t="shared" si="99"/>
      </c>
      <c s="73">
        <f t="shared" si="100"/>
      </c>
      <c s="73">
        <f t="shared" si="101"/>
      </c>
      <c s="74">
        <f t="shared" si="108"/>
      </c>
      <c s="74">
        <f t="shared" si="109"/>
      </c>
      <c s="69" t="str">
        <f t="shared" si="55"/>
        <v>Total US - Petco.com</v>
      </c>
      <c s="69" t="str">
        <f t="shared" si="56"/>
        <v>Total US - Internet</v>
      </c>
      <c s="77"/>
    </row>
    <row r="232" spans="1:141" s="92" customFormat="1" ht="15">
      <c r="A23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 t="shared" si="86"/>
      </c>
      <c s="76">
        <f t="shared" si="87"/>
      </c>
      <c s="75">
        <f t="shared" si="102"/>
      </c>
      <c s="76">
        <f t="shared" si="88"/>
      </c>
      <c s="75">
        <f t="shared" si="103"/>
      </c>
      <c s="76">
        <f t="shared" si="89"/>
      </c>
      <c s="75">
        <f t="shared" si="104"/>
      </c>
      <c s="76">
        <f t="shared" si="90"/>
      </c>
      <c s="75">
        <f t="shared" si="84"/>
      </c>
      <c s="76">
        <f t="shared" si="91"/>
      </c>
      <c s="75">
        <f t="shared" si="92"/>
      </c>
      <c s="76">
        <f t="shared" si="93"/>
      </c>
      <c s="75">
        <f t="shared" si="105"/>
      </c>
      <c s="76">
        <f t="shared" si="94"/>
      </c>
      <c s="75">
        <f t="shared" si="106"/>
      </c>
      <c s="76">
        <f t="shared" si="95"/>
      </c>
      <c s="75">
        <f t="shared" si="107"/>
      </c>
      <c s="76">
        <f t="shared" si="96"/>
      </c>
      <c s="75">
        <f t="shared" si="85"/>
      </c>
      <c s="76">
        <f t="shared" si="97"/>
      </c>
      <c s="65" t="str">
        <f t="shared" si="75"/>
        <v>Petsmart.com</v>
      </c>
      <c s="65" t="str">
        <f t="shared" si="76"/>
        <v>Internet</v>
      </c>
      <c s="72" t="str">
        <f>IF('[1]Leakage Tree Data'!A131&lt;&gt;"",'[1]Leakage Tree Data'!A131,"")</f>
        <v>Total US - Petsmart.com</v>
      </c>
      <c s="72" t="str">
        <f>IF('[1]Leakage Tree Data'!B131&lt;&gt;"",'[1]Leakage Tree Data'!B131,"")</f>
        <v>Total US - Internet</v>
      </c>
      <c s="72">
        <f>IF('[1]Leakage Tree Data'!C131&lt;&gt;"",'[1]Leakage Tree Data'!C131,"")</f>
        <v>121171760.292236</v>
      </c>
      <c s="72">
        <f>IF('[1]Leakage Tree Data'!D131&lt;&gt;"",'[1]Leakage Tree Data'!D131,"")</f>
        <v>859766.878295898</v>
      </c>
      <c s="72">
        <f>IF('[1]Leakage Tree Data'!E131&lt;&gt;"",'[1]Leakage Tree Data'!E131,"")</f>
        <v>0.709543936823525</v>
      </c>
      <c s="72">
        <f>IF('[1]Leakage Tree Data'!F131&lt;&gt;"",'[1]Leakage Tree Data'!F131,"")</f>
        <v>120311993.41394</v>
      </c>
      <c s="72">
        <f>IF('[1]Leakage Tree Data'!G131&lt;&gt;"",'[1]Leakage Tree Data'!G131,"")</f>
        <v>99.2904560631765</v>
      </c>
      <c s="72">
        <f>IF('[1]Leakage Tree Data'!H131&lt;&gt;"",'[1]Leakage Tree Data'!H131,"")</f>
        <v>61518209.9918823</v>
      </c>
      <c s="72" t="str">
        <f>IF('[1]Leakage Tree Data'!I131&lt;&gt;"",'[1]Leakage Tree Data'!I131,"")</f>
        <v>Internet</v>
      </c>
      <c s="72">
        <f>IF('[1]Leakage Tree Data'!J131&lt;&gt;"",'[1]Leakage Tree Data'!J131,"")</f>
      </c>
      <c s="72">
        <f>IF('[1]Leakage Tree Data'!K131&lt;&gt;"",'[1]Leakage Tree Data'!K131,"")</f>
      </c>
      <c s="72">
        <f>IF('[1]Leakage Tree Data'!L131&lt;&gt;"",'[1]Leakage Tree Data'!L131,"")</f>
      </c>
      <c s="72">
        <f>IF('[1]Leakage Tree Data'!M131&lt;&gt;"",'[1]Leakage Tree Data'!M131,"")</f>
      </c>
      <c s="72">
        <f>IF('[1]Leakage Tree Data'!N131&lt;&gt;"",'[1]Leakage Tree Data'!N131,"")</f>
      </c>
      <c s="72">
        <f>IF('[1]Leakage Tree Data'!O131&lt;&gt;"",'[1]Leakage Tree Data'!O131,"")</f>
      </c>
      <c s="72">
        <f>IF('[1]Leakage Tree Data'!P131&lt;&gt;"",'[1]Leakage Tree Data'!P131,"")</f>
      </c>
      <c s="72">
        <f>IF('[1]Leakage Tree Data'!Q131&lt;&gt;"",'[1]Leakage Tree Data'!Q131,"")</f>
      </c>
      <c s="72">
        <f>IF('[1]Leakage Tree Data'!R131&lt;&gt;"",'[1]Leakage Tree Data'!R131,"")</f>
        <v>1017625.85098267</v>
      </c>
      <c s="72">
        <f>IF('[1]Leakage Tree Data'!S131&lt;&gt;"",'[1]Leakage Tree Data'!S131,"")</f>
        <v>-34606.4739074707</v>
      </c>
      <c s="72">
        <f>IF('[1]Leakage Tree Data'!T131&lt;&gt;"",'[1]Leakage Tree Data'!T131,"")</f>
        <v>-0.0348111004479144</v>
      </c>
      <c s="72">
        <f>IF('[1]Leakage Tree Data'!U131&lt;&gt;"",'[1]Leakage Tree Data'!U131,"")</f>
        <v>1052232.32489014</v>
      </c>
      <c s="72">
        <f>IF('[1]Leakage Tree Data'!V131&lt;&gt;"",'[1]Leakage Tree Data'!V131,"")</f>
        <v>0.0348111004479108</v>
      </c>
      <c s="72">
        <f>IF('[1]Leakage Tree Data'!W131&lt;&gt;"",'[1]Leakage Tree Data'!W131,"")</f>
        <v>-1855949.2237854</v>
      </c>
      <c s="72">
        <f>IF('[1]Leakage Tree Data'!X131&lt;&gt;"",'[1]Leakage Tree Data'!X131,"")</f>
      </c>
      <c s="72">
        <f>IF('[1]Leakage Tree Data'!Y131&lt;&gt;"",'[1]Leakage Tree Data'!Y131,"")</f>
      </c>
      <c s="72">
        <f>IF('[1]Leakage Tree Data'!Z131&lt;&gt;"",'[1]Leakage Tree Data'!Z131,"")</f>
      </c>
      <c s="72">
        <f>IF('[1]Leakage Tree Data'!AA131&lt;&gt;"",'[1]Leakage Tree Data'!AA131,"")</f>
      </c>
      <c s="72">
        <f>IF('[1]Leakage Tree Data'!AB131&lt;&gt;"",'[1]Leakage Tree Data'!AB131,"")</f>
      </c>
      <c s="72">
        <f>IF('[1]Leakage Tree Data'!AC131&lt;&gt;"",'[1]Leakage Tree Data'!AC131,"")</f>
      </c>
      <c s="72">
        <f>IF('[1]Leakage Tree Data'!AD131&lt;&gt;"",'[1]Leakage Tree Data'!AD131,"")</f>
      </c>
      <c s="72">
        <f>IF('[1]Leakage Tree Data'!AE131&lt;&gt;"",'[1]Leakage Tree Data'!AE131,"")</f>
      </c>
      <c s="73">
        <f t="shared" si="98"/>
      </c>
      <c s="73">
        <f t="shared" si="99"/>
      </c>
      <c s="73">
        <f t="shared" si="100"/>
      </c>
      <c s="73">
        <f t="shared" si="101"/>
      </c>
      <c s="74">
        <f t="shared" si="108"/>
      </c>
      <c s="74">
        <f t="shared" si="109"/>
      </c>
      <c s="69" t="str">
        <f t="shared" si="55"/>
        <v>Total US - Petsmart.com</v>
      </c>
      <c s="69" t="str">
        <f t="shared" si="56"/>
        <v>Total US - Internet</v>
      </c>
      <c s="77"/>
    </row>
    <row r="233" spans="1:141" s="92" customFormat="1" ht="15">
      <c r="A23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 t="shared" si="86"/>
      </c>
      <c s="76">
        <f t="shared" si="87"/>
      </c>
      <c s="75">
        <f t="shared" si="102"/>
      </c>
      <c s="76">
        <f t="shared" si="88"/>
      </c>
      <c s="75">
        <f t="shared" si="103"/>
      </c>
      <c s="76">
        <f t="shared" si="89"/>
      </c>
      <c s="75">
        <f t="shared" si="104"/>
      </c>
      <c s="76">
        <f t="shared" si="90"/>
      </c>
      <c s="75">
        <f t="shared" si="84"/>
      </c>
      <c s="76">
        <f t="shared" si="91"/>
      </c>
      <c s="75">
        <f t="shared" si="92"/>
      </c>
      <c s="76">
        <f t="shared" si="93"/>
      </c>
      <c s="75">
        <f t="shared" si="105"/>
      </c>
      <c s="76">
        <f t="shared" si="94"/>
      </c>
      <c s="75">
        <f t="shared" si="106"/>
      </c>
      <c s="76">
        <f t="shared" si="95"/>
      </c>
      <c s="75">
        <f t="shared" si="107"/>
      </c>
      <c s="76">
        <f t="shared" si="96"/>
      </c>
      <c s="75">
        <f t="shared" si="85"/>
      </c>
      <c s="76">
        <f t="shared" si="97"/>
      </c>
      <c s="65" t="str">
        <f t="shared" si="75"/>
        <v>Puritan.com</v>
      </c>
      <c s="65" t="str">
        <f t="shared" si="76"/>
        <v>Internet</v>
      </c>
      <c s="72" t="str">
        <f>IF('[1]Leakage Tree Data'!A132&lt;&gt;"",'[1]Leakage Tree Data'!A132,"")</f>
        <v>Total US - Puritan.com</v>
      </c>
      <c s="72" t="str">
        <f>IF('[1]Leakage Tree Data'!B132&lt;&gt;"",'[1]Leakage Tree Data'!B132,"")</f>
        <v>Total US - Internet</v>
      </c>
      <c s="72">
        <f>IF('[1]Leakage Tree Data'!C132&lt;&gt;"",'[1]Leakage Tree Data'!C132,"")</f>
        <v>121171760.292236</v>
      </c>
      <c s="72">
        <f>IF('[1]Leakage Tree Data'!D132&lt;&gt;"",'[1]Leakage Tree Data'!D132,"")</f>
        <v>788125.647216797</v>
      </c>
      <c s="72">
        <f>IF('[1]Leakage Tree Data'!E132&lt;&gt;"",'[1]Leakage Tree Data'!E132,"")</f>
        <v>0.650420234315349</v>
      </c>
      <c s="72">
        <f>IF('[1]Leakage Tree Data'!F132&lt;&gt;"",'[1]Leakage Tree Data'!F132,"")</f>
        <v>120383634.64502</v>
      </c>
      <c s="72">
        <f>IF('[1]Leakage Tree Data'!G132&lt;&gt;"",'[1]Leakage Tree Data'!G132,"")</f>
        <v>99.3495797656847</v>
      </c>
      <c s="72">
        <f>IF('[1]Leakage Tree Data'!H132&lt;&gt;"",'[1]Leakage Tree Data'!H132,"")</f>
        <v>61518209.9918823</v>
      </c>
      <c s="72" t="str">
        <f>IF('[1]Leakage Tree Data'!I132&lt;&gt;"",'[1]Leakage Tree Data'!I132,"")</f>
        <v>Internet</v>
      </c>
      <c s="72">
        <f>IF('[1]Leakage Tree Data'!J132&lt;&gt;"",'[1]Leakage Tree Data'!J132,"")</f>
      </c>
      <c s="72">
        <f>IF('[1]Leakage Tree Data'!K132&lt;&gt;"",'[1]Leakage Tree Data'!K132,"")</f>
      </c>
      <c s="72">
        <f>IF('[1]Leakage Tree Data'!L132&lt;&gt;"",'[1]Leakage Tree Data'!L132,"")</f>
      </c>
      <c s="72">
        <f>IF('[1]Leakage Tree Data'!M132&lt;&gt;"",'[1]Leakage Tree Data'!M132,"")</f>
      </c>
      <c s="72">
        <f>IF('[1]Leakage Tree Data'!N132&lt;&gt;"",'[1]Leakage Tree Data'!N132,"")</f>
      </c>
      <c s="72">
        <f>IF('[1]Leakage Tree Data'!O132&lt;&gt;"",'[1]Leakage Tree Data'!O132,"")</f>
      </c>
      <c s="72">
        <f>IF('[1]Leakage Tree Data'!P132&lt;&gt;"",'[1]Leakage Tree Data'!P132,"")</f>
      </c>
      <c s="72">
        <f>IF('[1]Leakage Tree Data'!Q132&lt;&gt;"",'[1]Leakage Tree Data'!Q132,"")</f>
      </c>
      <c s="72">
        <f>IF('[1]Leakage Tree Data'!R132&lt;&gt;"",'[1]Leakage Tree Data'!R132,"")</f>
        <v>1017625.85098267</v>
      </c>
      <c s="72">
        <f>IF('[1]Leakage Tree Data'!S132&lt;&gt;"",'[1]Leakage Tree Data'!S132,"")</f>
        <v>-1038.07427978516</v>
      </c>
      <c s="72">
        <f>IF('[1]Leakage Tree Data'!T132&lt;&gt;"",'[1]Leakage Tree Data'!T132,"")</f>
        <v>-0.00637258031927634</v>
      </c>
      <c s="72">
        <f>IF('[1]Leakage Tree Data'!U132&lt;&gt;"",'[1]Leakage Tree Data'!U132,"")</f>
        <v>1018663.92526245</v>
      </c>
      <c s="72">
        <f>IF('[1]Leakage Tree Data'!V132&lt;&gt;"",'[1]Leakage Tree Data'!V132,"")</f>
        <v>0.00637258031927956</v>
      </c>
      <c s="72">
        <f>IF('[1]Leakage Tree Data'!W132&lt;&gt;"",'[1]Leakage Tree Data'!W132,"")</f>
        <v>-1855949.2237854</v>
      </c>
      <c s="72">
        <f>IF('[1]Leakage Tree Data'!X132&lt;&gt;"",'[1]Leakage Tree Data'!X132,"")</f>
      </c>
      <c s="72">
        <f>IF('[1]Leakage Tree Data'!Y132&lt;&gt;"",'[1]Leakage Tree Data'!Y132,"")</f>
      </c>
      <c s="72">
        <f>IF('[1]Leakage Tree Data'!Z132&lt;&gt;"",'[1]Leakage Tree Data'!Z132,"")</f>
      </c>
      <c s="72">
        <f>IF('[1]Leakage Tree Data'!AA132&lt;&gt;"",'[1]Leakage Tree Data'!AA132,"")</f>
      </c>
      <c s="72">
        <f>IF('[1]Leakage Tree Data'!AB132&lt;&gt;"",'[1]Leakage Tree Data'!AB132,"")</f>
      </c>
      <c s="72">
        <f>IF('[1]Leakage Tree Data'!AC132&lt;&gt;"",'[1]Leakage Tree Data'!AC132,"")</f>
      </c>
      <c s="72">
        <f>IF('[1]Leakage Tree Data'!AD132&lt;&gt;"",'[1]Leakage Tree Data'!AD132,"")</f>
      </c>
      <c s="72">
        <f>IF('[1]Leakage Tree Data'!AE132&lt;&gt;"",'[1]Leakage Tree Data'!AE132,"")</f>
      </c>
      <c s="73">
        <f t="shared" si="98"/>
      </c>
      <c s="73">
        <f t="shared" si="99"/>
      </c>
      <c s="73">
        <f t="shared" si="100"/>
      </c>
      <c s="73">
        <f t="shared" si="101"/>
      </c>
      <c s="74">
        <f t="shared" si="108"/>
      </c>
      <c s="74">
        <f t="shared" si="109"/>
      </c>
      <c s="69" t="str">
        <f t="shared" si="55"/>
        <v>Total US - Puritan.com</v>
      </c>
      <c s="69" t="str">
        <f t="shared" si="56"/>
        <v>Total US - Internet</v>
      </c>
      <c s="77"/>
    </row>
    <row r="234" spans="1:141" s="92" customFormat="1" ht="15">
      <c r="A23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 t="shared" si="86"/>
      </c>
      <c s="76">
        <f t="shared" si="87"/>
      </c>
      <c s="75">
        <f t="shared" si="102"/>
      </c>
      <c s="76">
        <f t="shared" si="88"/>
      </c>
      <c s="75">
        <f t="shared" si="103"/>
      </c>
      <c s="76">
        <f t="shared" si="89"/>
      </c>
      <c s="75">
        <f t="shared" si="104"/>
      </c>
      <c s="76">
        <f t="shared" si="90"/>
      </c>
      <c s="75">
        <f t="shared" si="84"/>
      </c>
      <c s="76">
        <f t="shared" si="91"/>
      </c>
      <c s="75">
        <f t="shared" si="92"/>
      </c>
      <c s="76">
        <f t="shared" si="93"/>
      </c>
      <c s="75">
        <f t="shared" si="105"/>
      </c>
      <c s="76">
        <f t="shared" si="94"/>
      </c>
      <c s="75">
        <f t="shared" si="106"/>
      </c>
      <c s="76">
        <f t="shared" si="95"/>
      </c>
      <c s="75">
        <f t="shared" si="107"/>
      </c>
      <c s="76">
        <f t="shared" si="96"/>
      </c>
      <c s="75">
        <f t="shared" si="85"/>
      </c>
      <c s="76">
        <f t="shared" si="97"/>
      </c>
      <c s="65" t="str">
        <f t="shared" si="75"/>
        <v>QVC.com</v>
      </c>
      <c s="65" t="str">
        <f t="shared" si="76"/>
        <v>Internet</v>
      </c>
      <c s="72" t="str">
        <f>IF('[1]Leakage Tree Data'!A133&lt;&gt;"",'[1]Leakage Tree Data'!A133,"")</f>
        <v>Total US - QVC.com</v>
      </c>
      <c s="72" t="str">
        <f>IF('[1]Leakage Tree Data'!B133&lt;&gt;"",'[1]Leakage Tree Data'!B133,"")</f>
        <v>Total US - Internet</v>
      </c>
      <c s="72">
        <f>IF('[1]Leakage Tree Data'!C133&lt;&gt;"",'[1]Leakage Tree Data'!C133,"")</f>
        <v>121171760.292236</v>
      </c>
      <c s="72">
        <f>IF('[1]Leakage Tree Data'!D133&lt;&gt;"",'[1]Leakage Tree Data'!D133,"")</f>
        <v>1412994.66418457</v>
      </c>
      <c s="72">
        <f>IF('[1]Leakage Tree Data'!E133&lt;&gt;"",'[1]Leakage Tree Data'!E133,"")</f>
        <v>1.16610888607773</v>
      </c>
      <c s="72">
        <f>IF('[1]Leakage Tree Data'!F133&lt;&gt;"",'[1]Leakage Tree Data'!F133,"")</f>
        <v>119758765.628052</v>
      </c>
      <c s="72">
        <f>IF('[1]Leakage Tree Data'!G133&lt;&gt;"",'[1]Leakage Tree Data'!G133,"")</f>
        <v>98.8338911139223</v>
      </c>
      <c s="72">
        <f>IF('[1]Leakage Tree Data'!H133&lt;&gt;"",'[1]Leakage Tree Data'!H133,"")</f>
        <v>61518209.9918823</v>
      </c>
      <c s="72" t="str">
        <f>IF('[1]Leakage Tree Data'!I133&lt;&gt;"",'[1]Leakage Tree Data'!I133,"")</f>
        <v>Internet</v>
      </c>
      <c s="72">
        <f>IF('[1]Leakage Tree Data'!J133&lt;&gt;"",'[1]Leakage Tree Data'!J133,"")</f>
      </c>
      <c s="72">
        <f>IF('[1]Leakage Tree Data'!K133&lt;&gt;"",'[1]Leakage Tree Data'!K133,"")</f>
      </c>
      <c s="72">
        <f>IF('[1]Leakage Tree Data'!L133&lt;&gt;"",'[1]Leakage Tree Data'!L133,"")</f>
      </c>
      <c s="72">
        <f>IF('[1]Leakage Tree Data'!M133&lt;&gt;"",'[1]Leakage Tree Data'!M133,"")</f>
      </c>
      <c s="72">
        <f>IF('[1]Leakage Tree Data'!N133&lt;&gt;"",'[1]Leakage Tree Data'!N133,"")</f>
      </c>
      <c s="72">
        <f>IF('[1]Leakage Tree Data'!O133&lt;&gt;"",'[1]Leakage Tree Data'!O133,"")</f>
      </c>
      <c s="72">
        <f>IF('[1]Leakage Tree Data'!P133&lt;&gt;"",'[1]Leakage Tree Data'!P133,"")</f>
      </c>
      <c s="72">
        <f>IF('[1]Leakage Tree Data'!Q133&lt;&gt;"",'[1]Leakage Tree Data'!Q133,"")</f>
      </c>
      <c s="72">
        <f>IF('[1]Leakage Tree Data'!R133&lt;&gt;"",'[1]Leakage Tree Data'!R133,"")</f>
        <v>1017625.85098267</v>
      </c>
      <c s="72">
        <f>IF('[1]Leakage Tree Data'!S133&lt;&gt;"",'[1]Leakage Tree Data'!S133,"")</f>
        <v>59551.6165161133</v>
      </c>
      <c s="72">
        <f>IF('[1]Leakage Tree Data'!T133&lt;&gt;"",'[1]Leakage Tree Data'!T133,"")</f>
        <v>0.0396865170412379</v>
      </c>
      <c s="72">
        <f>IF('[1]Leakage Tree Data'!U133&lt;&gt;"",'[1]Leakage Tree Data'!U133,"")</f>
        <v>958074.234466553</v>
      </c>
      <c s="72">
        <f>IF('[1]Leakage Tree Data'!V133&lt;&gt;"",'[1]Leakage Tree Data'!V133,"")</f>
        <v>-0.0396865170412326</v>
      </c>
      <c s="72">
        <f>IF('[1]Leakage Tree Data'!W133&lt;&gt;"",'[1]Leakage Tree Data'!W133,"")</f>
        <v>-1855949.2237854</v>
      </c>
      <c s="72">
        <f>IF('[1]Leakage Tree Data'!X133&lt;&gt;"",'[1]Leakage Tree Data'!X133,"")</f>
      </c>
      <c s="72">
        <f>IF('[1]Leakage Tree Data'!Y133&lt;&gt;"",'[1]Leakage Tree Data'!Y133,"")</f>
      </c>
      <c s="72">
        <f>IF('[1]Leakage Tree Data'!Z133&lt;&gt;"",'[1]Leakage Tree Data'!Z133,"")</f>
      </c>
      <c s="72">
        <f>IF('[1]Leakage Tree Data'!AA133&lt;&gt;"",'[1]Leakage Tree Data'!AA133,"")</f>
      </c>
      <c s="72">
        <f>IF('[1]Leakage Tree Data'!AB133&lt;&gt;"",'[1]Leakage Tree Data'!AB133,"")</f>
      </c>
      <c s="72">
        <f>IF('[1]Leakage Tree Data'!AC133&lt;&gt;"",'[1]Leakage Tree Data'!AC133,"")</f>
      </c>
      <c s="72">
        <f>IF('[1]Leakage Tree Data'!AD133&lt;&gt;"",'[1]Leakage Tree Data'!AD133,"")</f>
      </c>
      <c s="72">
        <f>IF('[1]Leakage Tree Data'!AE133&lt;&gt;"",'[1]Leakage Tree Data'!AE133,"")</f>
      </c>
      <c s="73">
        <f t="shared" si="98"/>
      </c>
      <c s="73">
        <f t="shared" si="99"/>
      </c>
      <c s="73">
        <f t="shared" si="100"/>
      </c>
      <c s="73">
        <f t="shared" si="101"/>
      </c>
      <c s="74">
        <f t="shared" si="108"/>
      </c>
      <c s="74">
        <f t="shared" si="109"/>
      </c>
      <c s="69" t="str">
        <f t="shared" si="55"/>
        <v>Total US - QVC.com</v>
      </c>
      <c s="69" t="str">
        <f t="shared" si="56"/>
        <v>Total US - Internet</v>
      </c>
      <c s="77"/>
    </row>
    <row r="235" spans="1:141" s="92" customFormat="1" ht="15">
      <c r="A23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 t="shared" si="86"/>
      </c>
      <c s="76">
        <f t="shared" si="87"/>
      </c>
      <c s="75">
        <f t="shared" si="102"/>
      </c>
      <c s="76">
        <f t="shared" si="88"/>
      </c>
      <c s="75">
        <f t="shared" si="103"/>
      </c>
      <c s="76">
        <f t="shared" si="89"/>
      </c>
      <c s="75">
        <f t="shared" si="104"/>
      </c>
      <c s="76">
        <f t="shared" si="90"/>
      </c>
      <c s="75">
        <f t="shared" si="84"/>
      </c>
      <c s="76">
        <f t="shared" si="91"/>
      </c>
      <c s="75">
        <f t="shared" si="92"/>
      </c>
      <c s="76">
        <f t="shared" si="93"/>
      </c>
      <c s="75">
        <f t="shared" si="105"/>
      </c>
      <c s="76">
        <f t="shared" si="94"/>
      </c>
      <c s="75">
        <f t="shared" si="106"/>
      </c>
      <c s="76">
        <f t="shared" si="95"/>
      </c>
      <c s="75">
        <f t="shared" si="107"/>
      </c>
      <c s="76">
        <f t="shared" si="96"/>
      </c>
      <c s="75">
        <f t="shared" si="85"/>
      </c>
      <c s="76">
        <f t="shared" si="97"/>
      </c>
      <c s="65" t="str">
        <f t="shared" si="75"/>
        <v>Riteaid.com</v>
      </c>
      <c s="65" t="str">
        <f t="shared" si="76"/>
        <v>Internet</v>
      </c>
      <c s="72" t="str">
        <f>IF('[1]Leakage Tree Data'!A134&lt;&gt;"",'[1]Leakage Tree Data'!A134,"")</f>
        <v>Total US - Riteaid.com</v>
      </c>
      <c s="72" t="str">
        <f>IF('[1]Leakage Tree Data'!B134&lt;&gt;"",'[1]Leakage Tree Data'!B134,"")</f>
        <v>Total US - Internet</v>
      </c>
      <c s="72">
        <f>IF('[1]Leakage Tree Data'!C134&lt;&gt;"",'[1]Leakage Tree Data'!C134,"")</f>
        <v>121171760.292236</v>
      </c>
      <c s="72">
        <f>IF('[1]Leakage Tree Data'!D134&lt;&gt;"",'[1]Leakage Tree Data'!D134,"")</f>
        <v>544360.467102051</v>
      </c>
      <c s="72">
        <f>IF('[1]Leakage Tree Data'!E134&lt;&gt;"",'[1]Leakage Tree Data'!E134,"")</f>
        <v>0.44924697453366</v>
      </c>
      <c s="72">
        <f>IF('[1]Leakage Tree Data'!F134&lt;&gt;"",'[1]Leakage Tree Data'!F134,"")</f>
        <v>120627399.825134</v>
      </c>
      <c s="72">
        <f>IF('[1]Leakage Tree Data'!G134&lt;&gt;"",'[1]Leakage Tree Data'!G134,"")</f>
        <v>99.5507530254663</v>
      </c>
      <c s="72">
        <f>IF('[1]Leakage Tree Data'!H134&lt;&gt;"",'[1]Leakage Tree Data'!H134,"")</f>
        <v>61518209.9918823</v>
      </c>
      <c s="72" t="str">
        <f>IF('[1]Leakage Tree Data'!I134&lt;&gt;"",'[1]Leakage Tree Data'!I134,"")</f>
        <v>Internet</v>
      </c>
      <c s="72">
        <f>IF('[1]Leakage Tree Data'!J134&lt;&gt;"",'[1]Leakage Tree Data'!J134,"")</f>
      </c>
      <c s="72">
        <f>IF('[1]Leakage Tree Data'!K134&lt;&gt;"",'[1]Leakage Tree Data'!K134,"")</f>
      </c>
      <c s="72">
        <f>IF('[1]Leakage Tree Data'!L134&lt;&gt;"",'[1]Leakage Tree Data'!L134,"")</f>
      </c>
      <c s="72">
        <f>IF('[1]Leakage Tree Data'!M134&lt;&gt;"",'[1]Leakage Tree Data'!M134,"")</f>
      </c>
      <c s="72">
        <f>IF('[1]Leakage Tree Data'!N134&lt;&gt;"",'[1]Leakage Tree Data'!N134,"")</f>
      </c>
      <c s="72">
        <f>IF('[1]Leakage Tree Data'!O134&lt;&gt;"",'[1]Leakage Tree Data'!O134,"")</f>
      </c>
      <c s="72">
        <f>IF('[1]Leakage Tree Data'!P134&lt;&gt;"",'[1]Leakage Tree Data'!P134,"")</f>
      </c>
      <c s="72">
        <f>IF('[1]Leakage Tree Data'!Q134&lt;&gt;"",'[1]Leakage Tree Data'!Q134,"")</f>
      </c>
      <c s="72">
        <f>IF('[1]Leakage Tree Data'!R134&lt;&gt;"",'[1]Leakage Tree Data'!R134,"")</f>
        <v>1017625.85098267</v>
      </c>
      <c s="72">
        <f>IF('[1]Leakage Tree Data'!S134&lt;&gt;"",'[1]Leakage Tree Data'!S134,"")</f>
        <v>-34904.2798461914</v>
      </c>
      <c s="72">
        <f>IF('[1]Leakage Tree Data'!T134&lt;&gt;"",'[1]Leakage Tree Data'!T134,"")</f>
        <v>-0.0328544110257848</v>
      </c>
      <c s="72">
        <f>IF('[1]Leakage Tree Data'!U134&lt;&gt;"",'[1]Leakage Tree Data'!U134,"")</f>
        <v>1052530.13082886</v>
      </c>
      <c s="72">
        <f>IF('[1]Leakage Tree Data'!V134&lt;&gt;"",'[1]Leakage Tree Data'!V134,"")</f>
        <v>0.0328544110257809</v>
      </c>
      <c s="72">
        <f>IF('[1]Leakage Tree Data'!W134&lt;&gt;"",'[1]Leakage Tree Data'!W134,"")</f>
        <v>-1855949.2237854</v>
      </c>
      <c s="72">
        <f>IF('[1]Leakage Tree Data'!X134&lt;&gt;"",'[1]Leakage Tree Data'!X134,"")</f>
      </c>
      <c s="72">
        <f>IF('[1]Leakage Tree Data'!Y134&lt;&gt;"",'[1]Leakage Tree Data'!Y134,"")</f>
      </c>
      <c s="72">
        <f>IF('[1]Leakage Tree Data'!Z134&lt;&gt;"",'[1]Leakage Tree Data'!Z134,"")</f>
      </c>
      <c s="72">
        <f>IF('[1]Leakage Tree Data'!AA134&lt;&gt;"",'[1]Leakage Tree Data'!AA134,"")</f>
      </c>
      <c s="72">
        <f>IF('[1]Leakage Tree Data'!AB134&lt;&gt;"",'[1]Leakage Tree Data'!AB134,"")</f>
      </c>
      <c s="72">
        <f>IF('[1]Leakage Tree Data'!AC134&lt;&gt;"",'[1]Leakage Tree Data'!AC134,"")</f>
      </c>
      <c s="72">
        <f>IF('[1]Leakage Tree Data'!AD134&lt;&gt;"",'[1]Leakage Tree Data'!AD134,"")</f>
      </c>
      <c s="72">
        <f>IF('[1]Leakage Tree Data'!AE134&lt;&gt;"",'[1]Leakage Tree Data'!AE134,"")</f>
      </c>
      <c s="73">
        <f t="shared" si="98"/>
      </c>
      <c s="73">
        <f t="shared" si="99"/>
      </c>
      <c s="73">
        <f t="shared" si="100"/>
      </c>
      <c s="73">
        <f t="shared" si="101"/>
      </c>
      <c s="74">
        <f t="shared" si="108"/>
      </c>
      <c s="74">
        <f t="shared" si="109"/>
      </c>
      <c s="69" t="str">
        <f t="shared" si="55"/>
        <v>Total US - Riteaid.com</v>
      </c>
      <c s="69" t="str">
        <f t="shared" si="56"/>
        <v>Total US - Internet</v>
      </c>
      <c s="77"/>
    </row>
    <row r="236" spans="1:141" s="92" customFormat="1" ht="15">
      <c r="A23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 t="shared" si="86"/>
      </c>
      <c s="76">
        <f t="shared" si="87"/>
      </c>
      <c s="75">
        <f t="shared" si="102"/>
      </c>
      <c s="76">
        <f t="shared" si="88"/>
      </c>
      <c s="75">
        <f t="shared" si="103"/>
      </c>
      <c s="76">
        <f t="shared" si="89"/>
      </c>
      <c s="75">
        <f t="shared" si="104"/>
      </c>
      <c s="76">
        <f t="shared" si="90"/>
      </c>
      <c s="75">
        <f t="shared" si="84"/>
      </c>
      <c s="76">
        <f t="shared" si="91"/>
      </c>
      <c s="75">
        <f t="shared" si="92"/>
      </c>
      <c s="76">
        <f t="shared" si="93"/>
      </c>
      <c s="75">
        <f t="shared" si="105"/>
      </c>
      <c s="76">
        <f t="shared" si="94"/>
      </c>
      <c s="75">
        <f t="shared" si="106"/>
      </c>
      <c s="76">
        <f t="shared" si="95"/>
      </c>
      <c s="75">
        <f t="shared" si="107"/>
      </c>
      <c s="76">
        <f t="shared" si="96"/>
      </c>
      <c s="75">
        <f t="shared" si="85"/>
      </c>
      <c s="76">
        <f t="shared" si="97"/>
      </c>
      <c s="65" t="str">
        <f t="shared" si="75"/>
        <v>Safeway.com</v>
      </c>
      <c s="65" t="str">
        <f t="shared" si="76"/>
        <v>Internet</v>
      </c>
      <c s="72" t="str">
        <f>IF('[1]Leakage Tree Data'!A135&lt;&gt;"",'[1]Leakage Tree Data'!A135,"")</f>
        <v>Total US - Safeway.com</v>
      </c>
      <c s="72" t="str">
        <f>IF('[1]Leakage Tree Data'!B135&lt;&gt;"",'[1]Leakage Tree Data'!B135,"")</f>
        <v>Total US - Internet</v>
      </c>
      <c s="72">
        <f>IF('[1]Leakage Tree Data'!C135&lt;&gt;"",'[1]Leakage Tree Data'!C135,"")</f>
        <v>121171760.292236</v>
      </c>
      <c s="72">
        <f>IF('[1]Leakage Tree Data'!D135&lt;&gt;"",'[1]Leakage Tree Data'!D135,"")</f>
        <v>874812.280456543</v>
      </c>
      <c s="72">
        <f>IF('[1]Leakage Tree Data'!E135&lt;&gt;"",'[1]Leakage Tree Data'!E135,"")</f>
        <v>0.721960528052668</v>
      </c>
      <c s="72">
        <f>IF('[1]Leakage Tree Data'!F135&lt;&gt;"",'[1]Leakage Tree Data'!F135,"")</f>
        <v>120296948.01178</v>
      </c>
      <c s="72">
        <f>IF('[1]Leakage Tree Data'!G135&lt;&gt;"",'[1]Leakage Tree Data'!G135,"")</f>
        <v>99.2780394719473</v>
      </c>
      <c s="72">
        <f>IF('[1]Leakage Tree Data'!H135&lt;&gt;"",'[1]Leakage Tree Data'!H135,"")</f>
        <v>61518209.9918823</v>
      </c>
      <c s="72" t="str">
        <f>IF('[1]Leakage Tree Data'!I135&lt;&gt;"",'[1]Leakage Tree Data'!I135,"")</f>
        <v>Internet</v>
      </c>
      <c s="72">
        <f>IF('[1]Leakage Tree Data'!J135&lt;&gt;"",'[1]Leakage Tree Data'!J135,"")</f>
      </c>
      <c s="72">
        <f>IF('[1]Leakage Tree Data'!K135&lt;&gt;"",'[1]Leakage Tree Data'!K135,"")</f>
      </c>
      <c s="72">
        <f>IF('[1]Leakage Tree Data'!L135&lt;&gt;"",'[1]Leakage Tree Data'!L135,"")</f>
      </c>
      <c s="72">
        <f>IF('[1]Leakage Tree Data'!M135&lt;&gt;"",'[1]Leakage Tree Data'!M135,"")</f>
      </c>
      <c s="72">
        <f>IF('[1]Leakage Tree Data'!N135&lt;&gt;"",'[1]Leakage Tree Data'!N135,"")</f>
      </c>
      <c s="72">
        <f>IF('[1]Leakage Tree Data'!O135&lt;&gt;"",'[1]Leakage Tree Data'!O135,"")</f>
      </c>
      <c s="72">
        <f>IF('[1]Leakage Tree Data'!P135&lt;&gt;"",'[1]Leakage Tree Data'!P135,"")</f>
      </c>
      <c s="72">
        <f>IF('[1]Leakage Tree Data'!Q135&lt;&gt;"",'[1]Leakage Tree Data'!Q135,"")</f>
      </c>
      <c s="72">
        <f>IF('[1]Leakage Tree Data'!R135&lt;&gt;"",'[1]Leakage Tree Data'!R135,"")</f>
        <v>1017625.85098267</v>
      </c>
      <c s="72">
        <f>IF('[1]Leakage Tree Data'!S135&lt;&gt;"",'[1]Leakage Tree Data'!S135,"")</f>
        <v>14483.1759643555</v>
      </c>
      <c s="72">
        <f>IF('[1]Leakage Tree Data'!T135&lt;&gt;"",'[1]Leakage Tree Data'!T135,"")</f>
        <v>0.00593930373697593</v>
      </c>
      <c s="72">
        <f>IF('[1]Leakage Tree Data'!U135&lt;&gt;"",'[1]Leakage Tree Data'!U135,"")</f>
        <v>1003142.67501831</v>
      </c>
      <c s="72">
        <f>IF('[1]Leakage Tree Data'!V135&lt;&gt;"",'[1]Leakage Tree Data'!V135,"")</f>
        <v>-0.00593930373696594</v>
      </c>
      <c s="72">
        <f>IF('[1]Leakage Tree Data'!W135&lt;&gt;"",'[1]Leakage Tree Data'!W135,"")</f>
        <v>-1855949.2237854</v>
      </c>
      <c s="72">
        <f>IF('[1]Leakage Tree Data'!X135&lt;&gt;"",'[1]Leakage Tree Data'!X135,"")</f>
      </c>
      <c s="72">
        <f>IF('[1]Leakage Tree Data'!Y135&lt;&gt;"",'[1]Leakage Tree Data'!Y135,"")</f>
      </c>
      <c s="72">
        <f>IF('[1]Leakage Tree Data'!Z135&lt;&gt;"",'[1]Leakage Tree Data'!Z135,"")</f>
      </c>
      <c s="72">
        <f>IF('[1]Leakage Tree Data'!AA135&lt;&gt;"",'[1]Leakage Tree Data'!AA135,"")</f>
      </c>
      <c s="72">
        <f>IF('[1]Leakage Tree Data'!AB135&lt;&gt;"",'[1]Leakage Tree Data'!AB135,"")</f>
      </c>
      <c s="72">
        <f>IF('[1]Leakage Tree Data'!AC135&lt;&gt;"",'[1]Leakage Tree Data'!AC135,"")</f>
      </c>
      <c s="72">
        <f>IF('[1]Leakage Tree Data'!AD135&lt;&gt;"",'[1]Leakage Tree Data'!AD135,"")</f>
      </c>
      <c s="72">
        <f>IF('[1]Leakage Tree Data'!AE135&lt;&gt;"",'[1]Leakage Tree Data'!AE135,"")</f>
      </c>
      <c s="73">
        <f t="shared" si="98"/>
      </c>
      <c s="73">
        <f t="shared" si="99"/>
      </c>
      <c s="73">
        <f t="shared" si="100"/>
      </c>
      <c s="73">
        <f t="shared" si="101"/>
      </c>
      <c s="74">
        <f t="shared" si="108"/>
      </c>
      <c s="74">
        <f t="shared" si="109"/>
      </c>
      <c s="69" t="str">
        <f t="shared" si="55"/>
        <v>Total US - Safeway.com</v>
      </c>
      <c s="69" t="str">
        <f t="shared" si="56"/>
        <v>Total US - Internet</v>
      </c>
      <c s="77"/>
    </row>
    <row r="237" spans="1:141" s="92" customFormat="1" ht="15">
      <c r="A23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 t="shared" si="86"/>
      </c>
      <c s="76">
        <f t="shared" si="87"/>
      </c>
      <c s="75">
        <f t="shared" si="102"/>
      </c>
      <c s="76">
        <f t="shared" si="88"/>
      </c>
      <c s="75">
        <f t="shared" si="103"/>
      </c>
      <c s="76">
        <f t="shared" si="89"/>
      </c>
      <c s="75">
        <f t="shared" si="104"/>
      </c>
      <c s="76">
        <f t="shared" si="90"/>
      </c>
      <c s="75">
        <f t="shared" si="84"/>
      </c>
      <c s="76">
        <f t="shared" si="91"/>
      </c>
      <c s="75">
        <f t="shared" si="92"/>
      </c>
      <c s="76">
        <f t="shared" si="93"/>
      </c>
      <c s="75">
        <f t="shared" si="105"/>
      </c>
      <c s="76">
        <f t="shared" si="94"/>
      </c>
      <c s="75">
        <f t="shared" si="106"/>
      </c>
      <c s="76">
        <f t="shared" si="95"/>
      </c>
      <c s="75">
        <f t="shared" si="107"/>
      </c>
      <c s="76">
        <f t="shared" si="96"/>
      </c>
      <c s="75">
        <f t="shared" si="85"/>
        <v>4093044.57958984</v>
      </c>
      <c s="76">
        <f t="shared" si="97"/>
        <v>13</v>
      </c>
      <c s="65" t="str">
        <f t="shared" si="75"/>
        <v>SamsClub.com</v>
      </c>
      <c s="65" t="str">
        <f t="shared" si="76"/>
        <v>Internet</v>
      </c>
      <c s="72" t="str">
        <f>IF('[1]Leakage Tree Data'!A136&lt;&gt;"",'[1]Leakage Tree Data'!A136,"")</f>
        <v>Total US - SamsClub.com</v>
      </c>
      <c s="72" t="str">
        <f>IF('[1]Leakage Tree Data'!B136&lt;&gt;"",'[1]Leakage Tree Data'!B136,"")</f>
        <v>Total US - Internet</v>
      </c>
      <c s="72">
        <f>IF('[1]Leakage Tree Data'!C136&lt;&gt;"",'[1]Leakage Tree Data'!C136,"")</f>
        <v>121171760.292236</v>
      </c>
      <c s="72">
        <f>IF('[1]Leakage Tree Data'!D136&lt;&gt;"",'[1]Leakage Tree Data'!D136,"")</f>
        <v>3003065.34979248</v>
      </c>
      <c s="72">
        <f>IF('[1]Leakage Tree Data'!E136&lt;&gt;"",'[1]Leakage Tree Data'!E136,"")</f>
        <v>2.47835414996847</v>
      </c>
      <c s="72">
        <f>IF('[1]Leakage Tree Data'!F136&lt;&gt;"",'[1]Leakage Tree Data'!F136,"")</f>
        <v>118168694.942444</v>
      </c>
      <c s="72">
        <f>IF('[1]Leakage Tree Data'!G136&lt;&gt;"",'[1]Leakage Tree Data'!G136,"")</f>
        <v>97.5216458500315</v>
      </c>
      <c s="72">
        <f>IF('[1]Leakage Tree Data'!H136&lt;&gt;"",'[1]Leakage Tree Data'!H136,"")</f>
        <v>61518209.9918823</v>
      </c>
      <c s="72" t="str">
        <f>IF('[1]Leakage Tree Data'!I136&lt;&gt;"",'[1]Leakage Tree Data'!I136,"")</f>
        <v>Internet</v>
      </c>
      <c s="72">
        <f>IF('[1]Leakage Tree Data'!J136&lt;&gt;"",'[1]Leakage Tree Data'!J136,"")</f>
        <v>99.6813066661854</v>
      </c>
      <c s="72">
        <f>IF('[1]Leakage Tree Data'!K136&lt;&gt;"",'[1]Leakage Tree Data'!K136,"")</f>
        <v>196054.434326172</v>
      </c>
      <c s="72">
        <f>IF('[1]Leakage Tree Data'!L136&lt;&gt;"",'[1]Leakage Tree Data'!L136,"")</f>
      </c>
      <c s="72">
        <f>IF('[1]Leakage Tree Data'!M136&lt;&gt;"",'[1]Leakage Tree Data'!M136,"")</f>
        <v>4093044.57958984</v>
      </c>
      <c s="72">
        <f>IF('[1]Leakage Tree Data'!N136&lt;&gt;"",'[1]Leakage Tree Data'!N136,"")</f>
      </c>
      <c s="72">
        <f>IF('[1]Leakage Tree Data'!O136&lt;&gt;"",'[1]Leakage Tree Data'!O136,"")</f>
        <v>14.7013792702486</v>
      </c>
      <c s="72">
        <f>IF('[1]Leakage Tree Data'!P136&lt;&gt;"",'[1]Leakage Tree Data'!P136,"")</f>
        <v>850761.788619135</v>
      </c>
      <c s="72">
        <f>IF('[1]Leakage Tree Data'!Q136&lt;&gt;"",'[1]Leakage Tree Data'!Q136,"")</f>
      </c>
      <c s="72">
        <f>IF('[1]Leakage Tree Data'!R136&lt;&gt;"",'[1]Leakage Tree Data'!R136,"")</f>
        <v>1017625.85098267</v>
      </c>
      <c s="72">
        <f>IF('[1]Leakage Tree Data'!S136&lt;&gt;"",'[1]Leakage Tree Data'!S136,"")</f>
        <v>145751.731445313</v>
      </c>
      <c s="72">
        <f>IF('[1]Leakage Tree Data'!T136&lt;&gt;"",'[1]Leakage Tree Data'!T136,"")</f>
        <v>0.100313950491036</v>
      </c>
      <c s="72">
        <f>IF('[1]Leakage Tree Data'!U136&lt;&gt;"",'[1]Leakage Tree Data'!U136,"")</f>
        <v>871874.119537354</v>
      </c>
      <c s="72">
        <f>IF('[1]Leakage Tree Data'!V136&lt;&gt;"",'[1]Leakage Tree Data'!V136,"")</f>
        <v>-0.100313950491042</v>
      </c>
      <c s="72">
        <f>IF('[1]Leakage Tree Data'!W136&lt;&gt;"",'[1]Leakage Tree Data'!W136,"")</f>
        <v>-1855949.2237854</v>
      </c>
      <c s="72">
        <f>IF('[1]Leakage Tree Data'!X136&lt;&gt;"",'[1]Leakage Tree Data'!X136,"")</f>
      </c>
      <c s="72">
        <f>IF('[1]Leakage Tree Data'!Y136&lt;&gt;"",'[1]Leakage Tree Data'!Y136,"")</f>
        <v>-0.000346890608383887</v>
      </c>
      <c s="72">
        <f>IF('[1]Leakage Tree Data'!Z136&lt;&gt;"",'[1]Leakage Tree Data'!Z136,"")</f>
        <v>-5694.94744873047</v>
      </c>
      <c s="72">
        <f>IF('[1]Leakage Tree Data'!AA136&lt;&gt;"",'[1]Leakage Tree Data'!AA136,"")</f>
      </c>
      <c s="72">
        <f>IF('[1]Leakage Tree Data'!AB136&lt;&gt;"",'[1]Leakage Tree Data'!AB136,"")</f>
        <v>691797.208862305</v>
      </c>
      <c s="72">
        <f>IF('[1]Leakage Tree Data'!AC136&lt;&gt;"",'[1]Leakage Tree Data'!AC136,"")</f>
      </c>
      <c s="72">
        <f>IF('[1]Leakage Tree Data'!AD136&lt;&gt;"",'[1]Leakage Tree Data'!AD136,"")</f>
        <v>-1.91592935882234</v>
      </c>
      <c s="72">
        <f>IF('[1]Leakage Tree Data'!AE136&lt;&gt;"",'[1]Leakage Tree Data'!AE136,"")</f>
      </c>
      <c s="73">
        <f t="shared" si="98"/>
      </c>
      <c s="73">
        <f t="shared" si="99"/>
      </c>
      <c s="73">
        <f t="shared" si="100"/>
      </c>
      <c s="73">
        <f t="shared" si="101"/>
      </c>
      <c s="74">
        <f t="shared" si="108"/>
      </c>
      <c s="74">
        <f t="shared" si="109"/>
      </c>
      <c s="69" t="str">
        <f t="shared" si="55"/>
        <v>Total US - SamsClub.com</v>
      </c>
      <c s="69" t="str">
        <f t="shared" si="56"/>
        <v>Total US - Internet</v>
      </c>
      <c s="77"/>
    </row>
    <row r="238" spans="1:141" s="92" customFormat="1" ht="15">
      <c r="A23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 t="shared" si="86"/>
      </c>
      <c s="76">
        <f t="shared" si="87"/>
      </c>
      <c s="75">
        <f t="shared" si="102"/>
      </c>
      <c s="76">
        <f t="shared" si="88"/>
      </c>
      <c s="75">
        <f t="shared" si="103"/>
      </c>
      <c s="76">
        <f t="shared" si="89"/>
      </c>
      <c s="75">
        <f t="shared" si="104"/>
      </c>
      <c s="76">
        <f t="shared" si="90"/>
      </c>
      <c s="75">
        <f t="shared" si="84"/>
      </c>
      <c s="76">
        <f t="shared" si="91"/>
      </c>
      <c s="75">
        <f t="shared" si="92"/>
      </c>
      <c s="76">
        <f t="shared" si="93"/>
      </c>
      <c s="75">
        <f t="shared" si="105"/>
      </c>
      <c s="76">
        <f t="shared" si="94"/>
      </c>
      <c s="75">
        <f t="shared" si="106"/>
      </c>
      <c s="76">
        <f t="shared" si="95"/>
      </c>
      <c s="75">
        <f t="shared" si="107"/>
      </c>
      <c s="76">
        <f t="shared" si="96"/>
      </c>
      <c s="75">
        <f t="shared" si="85"/>
      </c>
      <c s="76">
        <f t="shared" si="97"/>
      </c>
      <c s="65" t="str">
        <f t="shared" si="75"/>
        <v>Sears.com</v>
      </c>
      <c s="65" t="str">
        <f t="shared" si="76"/>
        <v>Internet</v>
      </c>
      <c s="72" t="str">
        <f>IF('[1]Leakage Tree Data'!A137&lt;&gt;"",'[1]Leakage Tree Data'!A137,"")</f>
        <v>Total US - Sears.com</v>
      </c>
      <c s="72" t="str">
        <f>IF('[1]Leakage Tree Data'!B137&lt;&gt;"",'[1]Leakage Tree Data'!B137,"")</f>
        <v>Total US - Internet</v>
      </c>
      <c s="72">
        <f>IF('[1]Leakage Tree Data'!C137&lt;&gt;"",'[1]Leakage Tree Data'!C137,"")</f>
        <v>121171760.292236</v>
      </c>
      <c s="72">
        <f>IF('[1]Leakage Tree Data'!D137&lt;&gt;"",'[1]Leakage Tree Data'!D137,"")</f>
        <v>1944409.14984131</v>
      </c>
      <c s="72">
        <f>IF('[1]Leakage Tree Data'!E137&lt;&gt;"",'[1]Leakage Tree Data'!E137,"")</f>
        <v>1.60467186838903</v>
      </c>
      <c s="72">
        <f>IF('[1]Leakage Tree Data'!F137&lt;&gt;"",'[1]Leakage Tree Data'!F137,"")</f>
        <v>119227351.142395</v>
      </c>
      <c s="72">
        <f>IF('[1]Leakage Tree Data'!G137&lt;&gt;"",'[1]Leakage Tree Data'!G137,"")</f>
        <v>98.395328131611</v>
      </c>
      <c s="72">
        <f>IF('[1]Leakage Tree Data'!H137&lt;&gt;"",'[1]Leakage Tree Data'!H137,"")</f>
        <v>61518209.9918823</v>
      </c>
      <c s="72" t="str">
        <f>IF('[1]Leakage Tree Data'!I137&lt;&gt;"",'[1]Leakage Tree Data'!I137,"")</f>
        <v>Internet</v>
      </c>
      <c s="72">
        <f>IF('[1]Leakage Tree Data'!J137&lt;&gt;"",'[1]Leakage Tree Data'!J137,"")</f>
      </c>
      <c s="72">
        <f>IF('[1]Leakage Tree Data'!K137&lt;&gt;"",'[1]Leakage Tree Data'!K137,"")</f>
      </c>
      <c s="72">
        <f>IF('[1]Leakage Tree Data'!L137&lt;&gt;"",'[1]Leakage Tree Data'!L137,"")</f>
      </c>
      <c s="72">
        <f>IF('[1]Leakage Tree Data'!M137&lt;&gt;"",'[1]Leakage Tree Data'!M137,"")</f>
      </c>
      <c s="72">
        <f>IF('[1]Leakage Tree Data'!N137&lt;&gt;"",'[1]Leakage Tree Data'!N137,"")</f>
      </c>
      <c s="72">
        <f>IF('[1]Leakage Tree Data'!O137&lt;&gt;"",'[1]Leakage Tree Data'!O137,"")</f>
      </c>
      <c s="72">
        <f>IF('[1]Leakage Tree Data'!P137&lt;&gt;"",'[1]Leakage Tree Data'!P137,"")</f>
      </c>
      <c s="72">
        <f>IF('[1]Leakage Tree Data'!Q137&lt;&gt;"",'[1]Leakage Tree Data'!Q137,"")</f>
      </c>
      <c s="72">
        <f>IF('[1]Leakage Tree Data'!R137&lt;&gt;"",'[1]Leakage Tree Data'!R137,"")</f>
        <v>1017625.85098267</v>
      </c>
      <c s="72">
        <f>IF('[1]Leakage Tree Data'!S137&lt;&gt;"",'[1]Leakage Tree Data'!S137,"")</f>
        <v>-244498.33203125</v>
      </c>
      <c s="72">
        <f>IF('[1]Leakage Tree Data'!T137&lt;&gt;"",'[1]Leakage Tree Data'!T137,"")</f>
        <v>-0.21707774684603</v>
      </c>
      <c s="72">
        <f>IF('[1]Leakage Tree Data'!U137&lt;&gt;"",'[1]Leakage Tree Data'!U137,"")</f>
        <v>1262124.18301392</v>
      </c>
      <c s="72">
        <f>IF('[1]Leakage Tree Data'!V137&lt;&gt;"",'[1]Leakage Tree Data'!V137,"")</f>
        <v>0.21707774684603</v>
      </c>
      <c s="72">
        <f>IF('[1]Leakage Tree Data'!W137&lt;&gt;"",'[1]Leakage Tree Data'!W137,"")</f>
        <v>-1855949.2237854</v>
      </c>
      <c s="72">
        <f>IF('[1]Leakage Tree Data'!X137&lt;&gt;"",'[1]Leakage Tree Data'!X137,"")</f>
      </c>
      <c s="72">
        <f>IF('[1]Leakage Tree Data'!Y137&lt;&gt;"",'[1]Leakage Tree Data'!Y137,"")</f>
      </c>
      <c s="72">
        <f>IF('[1]Leakage Tree Data'!Z137&lt;&gt;"",'[1]Leakage Tree Data'!Z137,"")</f>
      </c>
      <c s="72">
        <f>IF('[1]Leakage Tree Data'!AA137&lt;&gt;"",'[1]Leakage Tree Data'!AA137,"")</f>
      </c>
      <c s="72">
        <f>IF('[1]Leakage Tree Data'!AB137&lt;&gt;"",'[1]Leakage Tree Data'!AB137,"")</f>
      </c>
      <c s="72">
        <f>IF('[1]Leakage Tree Data'!AC137&lt;&gt;"",'[1]Leakage Tree Data'!AC137,"")</f>
      </c>
      <c s="72">
        <f>IF('[1]Leakage Tree Data'!AD137&lt;&gt;"",'[1]Leakage Tree Data'!AD137,"")</f>
      </c>
      <c s="72">
        <f>IF('[1]Leakage Tree Data'!AE137&lt;&gt;"",'[1]Leakage Tree Data'!AE137,"")</f>
      </c>
      <c s="73">
        <f t="shared" si="98"/>
      </c>
      <c s="73">
        <f t="shared" si="99"/>
      </c>
      <c s="73">
        <f t="shared" si="100"/>
      </c>
      <c s="73">
        <f t="shared" si="101"/>
      </c>
      <c s="74">
        <f t="shared" si="108"/>
      </c>
      <c s="74">
        <f t="shared" si="109"/>
      </c>
      <c s="69" t="str">
        <f t="shared" si="55"/>
        <v>Total US - Sears.com</v>
      </c>
      <c s="69" t="str">
        <f t="shared" si="56"/>
        <v>Total US - Internet</v>
      </c>
      <c s="77"/>
    </row>
    <row r="239" spans="1:141" s="92" customFormat="1" ht="15">
      <c r="A23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 t="shared" si="86"/>
      </c>
      <c s="76">
        <f t="shared" si="87"/>
      </c>
      <c s="75">
        <f t="shared" si="102"/>
      </c>
      <c s="76">
        <f t="shared" si="88"/>
      </c>
      <c s="75">
        <f t="shared" si="103"/>
      </c>
      <c s="76">
        <f t="shared" si="89"/>
      </c>
      <c s="75">
        <f t="shared" si="104"/>
      </c>
      <c s="76">
        <f t="shared" si="90"/>
      </c>
      <c s="75">
        <f t="shared" si="84"/>
      </c>
      <c s="76">
        <f t="shared" si="91"/>
      </c>
      <c s="75">
        <f t="shared" si="92"/>
      </c>
      <c s="76">
        <f t="shared" si="93"/>
      </c>
      <c s="75">
        <f t="shared" si="105"/>
      </c>
      <c s="76">
        <f t="shared" si="94"/>
      </c>
      <c s="75">
        <f t="shared" si="106"/>
      </c>
      <c s="76">
        <f t="shared" si="95"/>
      </c>
      <c s="75">
        <f t="shared" si="107"/>
      </c>
      <c s="76">
        <f t="shared" si="96"/>
      </c>
      <c s="75">
        <f t="shared" si="85"/>
      </c>
      <c s="76">
        <f t="shared" si="97"/>
      </c>
      <c s="65" t="str">
        <f t="shared" si="75"/>
        <v>Shoprite.com</v>
      </c>
      <c s="65" t="str">
        <f t="shared" si="76"/>
        <v>Internet</v>
      </c>
      <c s="72" t="str">
        <f>IF('[1]Leakage Tree Data'!A138&lt;&gt;"",'[1]Leakage Tree Data'!A138,"")</f>
        <v>Total US - Shoprite.com</v>
      </c>
      <c s="72" t="str">
        <f>IF('[1]Leakage Tree Data'!B138&lt;&gt;"",'[1]Leakage Tree Data'!B138,"")</f>
        <v>Total US - Internet</v>
      </c>
      <c s="72">
        <f>IF('[1]Leakage Tree Data'!C138&lt;&gt;"",'[1]Leakage Tree Data'!C138,"")</f>
        <v>121171760.292236</v>
      </c>
      <c s="72">
        <f>IF('[1]Leakage Tree Data'!D138&lt;&gt;"",'[1]Leakage Tree Data'!D138,"")</f>
        <v>836075.473693848</v>
      </c>
      <c s="72">
        <f>IF('[1]Leakage Tree Data'!E138&lt;&gt;"",'[1]Leakage Tree Data'!E138,"")</f>
        <v>0.689992017675934</v>
      </c>
      <c s="72">
        <f>IF('[1]Leakage Tree Data'!F138&lt;&gt;"",'[1]Leakage Tree Data'!F138,"")</f>
        <v>120335684.818542</v>
      </c>
      <c s="72">
        <f>IF('[1]Leakage Tree Data'!G138&lt;&gt;"",'[1]Leakage Tree Data'!G138,"")</f>
        <v>99.3100079823241</v>
      </c>
      <c s="72">
        <f>IF('[1]Leakage Tree Data'!H138&lt;&gt;"",'[1]Leakage Tree Data'!H138,"")</f>
        <v>61518209.9918823</v>
      </c>
      <c s="72" t="str">
        <f>IF('[1]Leakage Tree Data'!I138&lt;&gt;"",'[1]Leakage Tree Data'!I138,"")</f>
        <v>Internet</v>
      </c>
      <c s="72">
        <f>IF('[1]Leakage Tree Data'!J138&lt;&gt;"",'[1]Leakage Tree Data'!J138,"")</f>
      </c>
      <c s="72">
        <f>IF('[1]Leakage Tree Data'!K138&lt;&gt;"",'[1]Leakage Tree Data'!K138,"")</f>
      </c>
      <c s="72">
        <f>IF('[1]Leakage Tree Data'!L138&lt;&gt;"",'[1]Leakage Tree Data'!L138,"")</f>
      </c>
      <c s="72">
        <f>IF('[1]Leakage Tree Data'!M138&lt;&gt;"",'[1]Leakage Tree Data'!M138,"")</f>
      </c>
      <c s="72">
        <f>IF('[1]Leakage Tree Data'!N138&lt;&gt;"",'[1]Leakage Tree Data'!N138,"")</f>
      </c>
      <c s="72">
        <f>IF('[1]Leakage Tree Data'!O138&lt;&gt;"",'[1]Leakage Tree Data'!O138,"")</f>
        <v>25.0228854210632</v>
      </c>
      <c s="72">
        <f>IF('[1]Leakage Tree Data'!P138&lt;&gt;"",'[1]Leakage Tree Data'!P138,"")</f>
        <v>130904.980163887</v>
      </c>
      <c s="72">
        <f>IF('[1]Leakage Tree Data'!Q138&lt;&gt;"",'[1]Leakage Tree Data'!Q138,"")</f>
      </c>
      <c s="72">
        <f>IF('[1]Leakage Tree Data'!R138&lt;&gt;"",'[1]Leakage Tree Data'!R138,"")</f>
        <v>1017625.85098267</v>
      </c>
      <c s="72">
        <f>IF('[1]Leakage Tree Data'!S138&lt;&gt;"",'[1]Leakage Tree Data'!S138,"")</f>
        <v>-46316.7926635742</v>
      </c>
      <c s="72">
        <f>IF('[1]Leakage Tree Data'!T138&lt;&gt;"",'[1]Leakage Tree Data'!T138,"")</f>
        <v>-0.0443915892309472</v>
      </c>
      <c s="72">
        <f>IF('[1]Leakage Tree Data'!U138&lt;&gt;"",'[1]Leakage Tree Data'!U138,"")</f>
        <v>1063942.64364624</v>
      </c>
      <c s="72">
        <f>IF('[1]Leakage Tree Data'!V138&lt;&gt;"",'[1]Leakage Tree Data'!V138,"")</f>
        <v>0.0443915892309406</v>
      </c>
      <c s="72">
        <f>IF('[1]Leakage Tree Data'!W138&lt;&gt;"",'[1]Leakage Tree Data'!W138,"")</f>
        <v>-1855949.2237854</v>
      </c>
      <c s="72">
        <f>IF('[1]Leakage Tree Data'!X138&lt;&gt;"",'[1]Leakage Tree Data'!X138,"")</f>
      </c>
      <c s="72">
        <f>IF('[1]Leakage Tree Data'!Y138&lt;&gt;"",'[1]Leakage Tree Data'!Y138,"")</f>
      </c>
      <c s="72">
        <f>IF('[1]Leakage Tree Data'!Z138&lt;&gt;"",'[1]Leakage Tree Data'!Z138,"")</f>
      </c>
      <c s="72">
        <f>IF('[1]Leakage Tree Data'!AA138&lt;&gt;"",'[1]Leakage Tree Data'!AA138,"")</f>
      </c>
      <c s="72">
        <f>IF('[1]Leakage Tree Data'!AB138&lt;&gt;"",'[1]Leakage Tree Data'!AB138,"")</f>
      </c>
      <c s="72">
        <f>IF('[1]Leakage Tree Data'!AC138&lt;&gt;"",'[1]Leakage Tree Data'!AC138,"")</f>
      </c>
      <c s="72">
        <f>IF('[1]Leakage Tree Data'!AD138&lt;&gt;"",'[1]Leakage Tree Data'!AD138,"")</f>
        <v>3.06544918514447</v>
      </c>
      <c s="72">
        <f>IF('[1]Leakage Tree Data'!AE138&lt;&gt;"",'[1]Leakage Tree Data'!AE138,"")</f>
      </c>
      <c s="73">
        <f t="shared" si="98"/>
      </c>
      <c s="73">
        <f t="shared" si="99"/>
      </c>
      <c s="73">
        <f t="shared" si="100"/>
      </c>
      <c s="73">
        <f t="shared" si="101"/>
      </c>
      <c s="74">
        <f t="shared" si="108"/>
      </c>
      <c s="74">
        <f t="shared" si="109"/>
      </c>
      <c s="69" t="str">
        <f t="shared" si="55"/>
        <v>Total US - Shoprite.com</v>
      </c>
      <c s="69" t="str">
        <f t="shared" si="56"/>
        <v>Total US - Internet</v>
      </c>
      <c s="77"/>
    </row>
    <row r="240" spans="1:141" s="92" customFormat="1" ht="15">
      <c r="A24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 t="shared" si="86"/>
      </c>
      <c s="76">
        <f t="shared" si="87"/>
      </c>
      <c s="75">
        <f t="shared" si="102"/>
      </c>
      <c s="76">
        <f t="shared" si="88"/>
      </c>
      <c s="75">
        <f t="shared" si="103"/>
      </c>
      <c s="76">
        <f t="shared" si="89"/>
      </c>
      <c s="75">
        <f t="shared" si="104"/>
      </c>
      <c s="76">
        <f t="shared" si="90"/>
      </c>
      <c s="75">
        <f t="shared" si="84"/>
      </c>
      <c s="76">
        <f t="shared" si="91"/>
      </c>
      <c s="75">
        <f t="shared" si="92"/>
      </c>
      <c s="76">
        <f t="shared" si="93"/>
      </c>
      <c s="75">
        <f t="shared" si="105"/>
      </c>
      <c s="76">
        <f t="shared" si="94"/>
      </c>
      <c s="75">
        <f t="shared" si="106"/>
      </c>
      <c s="76">
        <f t="shared" si="95"/>
      </c>
      <c s="75">
        <f t="shared" si="107"/>
      </c>
      <c s="76">
        <f t="shared" si="96"/>
      </c>
      <c s="75">
        <f t="shared" si="85"/>
      </c>
      <c s="76">
        <f t="shared" si="97"/>
      </c>
      <c s="65" t="str">
        <f t="shared" si="75"/>
        <v>Staples.com</v>
      </c>
      <c s="65" t="str">
        <f t="shared" si="76"/>
        <v>Internet</v>
      </c>
      <c s="72" t="str">
        <f>IF('[1]Leakage Tree Data'!A139&lt;&gt;"",'[1]Leakage Tree Data'!A139,"")</f>
        <v>Total US - Staples.com</v>
      </c>
      <c s="72" t="str">
        <f>IF('[1]Leakage Tree Data'!B139&lt;&gt;"",'[1]Leakage Tree Data'!B139,"")</f>
        <v>Total US - Internet</v>
      </c>
      <c s="72">
        <f>IF('[1]Leakage Tree Data'!C139&lt;&gt;"",'[1]Leakage Tree Data'!C139,"")</f>
        <v>121171760.292236</v>
      </c>
      <c s="72">
        <f>IF('[1]Leakage Tree Data'!D139&lt;&gt;"",'[1]Leakage Tree Data'!D139,"")</f>
        <v>2443085.70159912</v>
      </c>
      <c s="72">
        <f>IF('[1]Leakage Tree Data'!E139&lt;&gt;"",'[1]Leakage Tree Data'!E139,"")</f>
        <v>2.01621705891455</v>
      </c>
      <c s="72">
        <f>IF('[1]Leakage Tree Data'!F139&lt;&gt;"",'[1]Leakage Tree Data'!F139,"")</f>
        <v>118728674.590637</v>
      </c>
      <c s="72">
        <f>IF('[1]Leakage Tree Data'!G139&lt;&gt;"",'[1]Leakage Tree Data'!G139,"")</f>
        <v>97.9837829410855</v>
      </c>
      <c s="72">
        <f>IF('[1]Leakage Tree Data'!H139&lt;&gt;"",'[1]Leakage Tree Data'!H139,"")</f>
        <v>61518209.9918823</v>
      </c>
      <c s="72" t="str">
        <f>IF('[1]Leakage Tree Data'!I139&lt;&gt;"",'[1]Leakage Tree Data'!I139,"")</f>
        <v>Internet</v>
      </c>
      <c s="72">
        <f>IF('[1]Leakage Tree Data'!J139&lt;&gt;"",'[1]Leakage Tree Data'!J139,"")</f>
      </c>
      <c s="72">
        <f>IF('[1]Leakage Tree Data'!K139&lt;&gt;"",'[1]Leakage Tree Data'!K139,"")</f>
      </c>
      <c s="72">
        <f>IF('[1]Leakage Tree Data'!L139&lt;&gt;"",'[1]Leakage Tree Data'!L139,"")</f>
      </c>
      <c s="72">
        <f>IF('[1]Leakage Tree Data'!M139&lt;&gt;"",'[1]Leakage Tree Data'!M139,"")</f>
      </c>
      <c s="72">
        <f>IF('[1]Leakage Tree Data'!N139&lt;&gt;"",'[1]Leakage Tree Data'!N139,"")</f>
      </c>
      <c s="72">
        <f>IF('[1]Leakage Tree Data'!O139&lt;&gt;"",'[1]Leakage Tree Data'!O139,"")</f>
      </c>
      <c s="72">
        <f>IF('[1]Leakage Tree Data'!P139&lt;&gt;"",'[1]Leakage Tree Data'!P139,"")</f>
      </c>
      <c s="72">
        <f>IF('[1]Leakage Tree Data'!Q139&lt;&gt;"",'[1]Leakage Tree Data'!Q139,"")</f>
      </c>
      <c s="72">
        <f>IF('[1]Leakage Tree Data'!R139&lt;&gt;"",'[1]Leakage Tree Data'!R139,"")</f>
        <v>1017625.85098267</v>
      </c>
      <c s="72">
        <f>IF('[1]Leakage Tree Data'!S139&lt;&gt;"",'[1]Leakage Tree Data'!S139,"")</f>
        <v>27659.6783752441</v>
      </c>
      <c s="72">
        <f>IF('[1]Leakage Tree Data'!T139&lt;&gt;"",'[1]Leakage Tree Data'!T139,"")</f>
        <v>0.00594414200145499</v>
      </c>
      <c s="72">
        <f>IF('[1]Leakage Tree Data'!U139&lt;&gt;"",'[1]Leakage Tree Data'!U139,"")</f>
        <v>989966.172607422</v>
      </c>
      <c s="72">
        <f>IF('[1]Leakage Tree Data'!V139&lt;&gt;"",'[1]Leakage Tree Data'!V139,"")</f>
        <v>-0.00594414200145366</v>
      </c>
      <c s="72">
        <f>IF('[1]Leakage Tree Data'!W139&lt;&gt;"",'[1]Leakage Tree Data'!W139,"")</f>
        <v>-1855949.2237854</v>
      </c>
      <c s="72">
        <f>IF('[1]Leakage Tree Data'!X139&lt;&gt;"",'[1]Leakage Tree Data'!X139,"")</f>
      </c>
      <c s="72">
        <f>IF('[1]Leakage Tree Data'!Y139&lt;&gt;"",'[1]Leakage Tree Data'!Y139,"")</f>
      </c>
      <c s="72">
        <f>IF('[1]Leakage Tree Data'!Z139&lt;&gt;"",'[1]Leakage Tree Data'!Z139,"")</f>
      </c>
      <c s="72">
        <f>IF('[1]Leakage Tree Data'!AA139&lt;&gt;"",'[1]Leakage Tree Data'!AA139,"")</f>
      </c>
      <c s="72">
        <f>IF('[1]Leakage Tree Data'!AB139&lt;&gt;"",'[1]Leakage Tree Data'!AB139,"")</f>
      </c>
      <c s="72">
        <f>IF('[1]Leakage Tree Data'!AC139&lt;&gt;"",'[1]Leakage Tree Data'!AC139,"")</f>
      </c>
      <c s="72">
        <f>IF('[1]Leakage Tree Data'!AD139&lt;&gt;"",'[1]Leakage Tree Data'!AD139,"")</f>
      </c>
      <c s="72">
        <f>IF('[1]Leakage Tree Data'!AE139&lt;&gt;"",'[1]Leakage Tree Data'!AE139,"")</f>
      </c>
      <c s="73">
        <f t="shared" si="98"/>
      </c>
      <c s="73">
        <f t="shared" si="99"/>
      </c>
      <c s="73">
        <f t="shared" si="100"/>
      </c>
      <c s="73">
        <f t="shared" si="101"/>
      </c>
      <c s="74">
        <f t="shared" si="108"/>
      </c>
      <c s="74">
        <f t="shared" si="109"/>
      </c>
      <c s="69" t="str">
        <f t="shared" ref="EI240:EI260" si="110">IF(CX240&lt;&gt;"",IF(CW$102&lt;&gt;"Y",IF(ISERROR(FIND(" - ",CX240))=FALSE,CX240,SUBSTITUTE(CX240,"-"," - ")),CX240),"")</f>
        <v>Total US - Staples.com</v>
      </c>
      <c s="69" t="str">
        <f t="shared" ref="EJ240:EJ260" si="111">IF(CX240&lt;&gt;"",IF(CW$102&lt;&gt;"Y",IF(ISERROR(FIND(" - ",CY240))=FALSE,CY240,SUBSTITUTE(CY240,"-"," - ")),CY240),"")</f>
        <v>Total US - Internet</v>
      </c>
      <c s="77"/>
    </row>
    <row r="241" spans="1:141" s="92" customFormat="1" ht="15">
      <c r="A24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 t="shared" ref="CB241:CB259" si="112">IF(ISERROR(VLOOKUP(CV241,$AL$8:$AL$14,1,FALSE))=TRUE,IF(AND(CV241=CW241,CV241&lt;&gt;"",DI$111&lt;&gt;"",DK241&lt;&gt;""),IF(CW$101="Y",DK241-IF(ISERROR(VLOOKUP(CV241,$CA$113:$DK$300,37,FALSE))=TRUE,0,IF(VLOOKUP(CV241,$CA$113:$DK$300,37,FALSE)="",0,VLOOKUP(CV241,$CA$113:$DK$300,37,FALSE))),DK241-IF(AND(CW$102="Y",CV241=$CW$111),DI$111,0)),""),"")</f>
      </c>
      <c s="76">
        <f t="shared" ref="CC241:CC259" si="113">IF(ISERROR(VLOOKUP(CV241,$AL$8:$AL$14,1,FALSE))=TRUE,IF(CB241&lt;&gt;"",IF(CB241&gt;0,IF(Z$4&lt;&gt;"",MIN(4,RANK(CB241,$CB$111:$CB$300)),RANK(CB241,$CB$111:$CB$300)),""),""),"")</f>
      </c>
      <c s="75">
        <f t="shared" si="102"/>
      </c>
      <c s="76">
        <f t="shared" ref="CE241:CE260" si="114">IF(ISERROR(VLOOKUP(CV241,$AL$8:$AL$14,1,FALSE))=TRUE,IF(CD241&lt;&gt;"",IF(CD241&gt;0,RANK(CD241,$CD$111:$CD$300),""),""),"")</f>
      </c>
      <c s="75">
        <f t="shared" si="103"/>
      </c>
      <c s="76">
        <f t="shared" ref="CG241:CG260" si="115">IF(ISERROR(VLOOKUP(CV241,$AL$8:$AL$14,1,FALSE))=TRUE,IF(CF241&lt;&gt;"",IF(CF241&gt;0,RANK(CF241,$CF$111:$CF$300),""),""),"")</f>
      </c>
      <c s="75">
        <f t="shared" si="104"/>
      </c>
      <c s="76">
        <f t="shared" ref="CI241:CI260" si="116">IF(ISERROR(VLOOKUP(CV241,$AL$8:$AL$14,1,FALSE))=TRUE,IF(CH241&lt;&gt;"",IF(CH241&gt;0,RANK(CH241,$CH$111:$CH$300),""),""),"")</f>
      </c>
      <c s="75">
        <f t="shared" si="84"/>
      </c>
      <c s="76">
        <f t="shared" ref="CK241:CK259" si="117">IF(ISERROR(VLOOKUP(CV241,$AL$8:$AL$14,1,FALSE))=TRUE,IF(CJ241&lt;&gt;"",IF(CJ241&gt;0,RANK(CJ241,$CJ$111:$CJ$300),""),""),"")</f>
      </c>
      <c s="75">
        <f t="shared" ref="CL241:CL259" si="118">IF(ISERROR(VLOOKUP(CV241,$AL$8:$AL$14,1,FALSE))=TRUE,IF(AND(CV241=CW241,CV241&lt;&gt;"",DJ241&lt;&gt;""),IF(AND(ISERROR(FIND("NeighMkt",$CX$102))=FALSE,LEFT($CW$111,10)="ALL OUTLET"),DJ241-IF(ISERROR(VLOOKUP(CV241,$CA$113:$DK$300,36,FALSE))=TRUE,0,IF(VLOOKUP(CV241,$CA$113:$DK$300,36,FALSE)="",0,VLOOKUP(CV241,$CA$113:$DK$300,36,FALSE))),DJ241),""),"")</f>
      </c>
      <c s="76">
        <f t="shared" ref="CM241:CM259" si="119">IF(ISERROR(VLOOKUP(CV241,$AL$8:$AL$14,1,FALSE))=TRUE,IF(CL241&lt;&gt;"",IF(CL241&gt;0,IF($Z$4&lt;&gt;"",MIN(4,RANK(CL241,$CL$111:$CL$300)),RANK(CL241,$CL$111:$CL$300)),""),""),"")</f>
      </c>
      <c s="75">
        <f t="shared" si="105"/>
      </c>
      <c s="76">
        <f t="shared" ref="CO241:CO260" si="120">IF(ISERROR(VLOOKUP(CV241,$AL$8:$AL$14,1,FALSE))=TRUE,IF(CN241&lt;&gt;"",IF(CN241&gt;0,RANK(CN241,$CN$111:$CN$300),""),""),"")</f>
      </c>
      <c s="75">
        <f t="shared" si="106"/>
      </c>
      <c s="76">
        <f t="shared" ref="CQ241:CQ260" si="121">IF(ISERROR(VLOOKUP(CV241,$AL$8:$AL$14,1,FALSE))=TRUE,IF(CP241&lt;&gt;"",IF(CP241&gt;0,RANK(CP241,$CP$111:$CP$300),""),""),"")</f>
      </c>
      <c s="75">
        <f t="shared" si="107"/>
      </c>
      <c s="76">
        <f t="shared" ref="CS241:CS260" si="122">IF(ISERROR(VLOOKUP(CV241,$AL$8:$AL$14,1,FALSE))=TRUE,IF(CR241&lt;&gt;"",IF(CR241&gt;0,RANK(CR241,$CR$111:$CR$300),""),""),"")</f>
      </c>
      <c s="75">
        <f t="shared" si="85"/>
      </c>
      <c s="76">
        <f t="shared" ref="CU241:CU260" si="123">IF(ISERROR(VLOOKUP(CV241,$AL$8:$AL$14,1,FALSE))=TRUE,IF(CT241&lt;&gt;"",IF(CT241&gt;0,RANK(CT241,$CT$111:$CT$300),""),""),"")</f>
      </c>
      <c s="65" t="str">
        <f t="shared" ref="CV241:CV260" si="124">IF(ISERROR(RIGHT(EI241,LEN(EI241)-IF(ISERROR(FIND(" - ",SUBSTITUTE(EI241," - ","^^^",1)))=FALSE,FIND(" - ",SUBSTITUTE(EI241," - ","^^^",1)),FIND(" - ",EI241))-3+1))=FALSE,RIGHT(EI241,LEN(EI241)-IF(ISERROR(FIND(" - ",SUBSTITUTE(EI241," - ","^^^",1)))=FALSE,FIND(" - ",SUBSTITUTE(EI241," - ","^^^",1)),FIND(" - ",EI241))-3+1),"")</f>
        <v>Target.com</v>
      </c>
      <c s="65" t="str">
        <f t="shared" ref="CW241:CW260" si="125">IF(EJ241&lt;&gt;"",RIGHT(EJ241,LEN(EJ241)-IF(ISERROR(FIND(" - ",SUBSTITUTE(EJ241," - ","^^^",1)))=FALSE,FIND(" - ",SUBSTITUTE(EJ241," - ","^^^",1)),FIND(" - ",EJ241))-3+1),"")</f>
        <v>Internet</v>
      </c>
      <c s="72" t="str">
        <f>IF('[1]Leakage Tree Data'!A140&lt;&gt;"",'[1]Leakage Tree Data'!A140,"")</f>
        <v>Total US - Target.com</v>
      </c>
      <c s="72" t="str">
        <f>IF('[1]Leakage Tree Data'!B140&lt;&gt;"",'[1]Leakage Tree Data'!B140,"")</f>
        <v>Total US - Internet</v>
      </c>
      <c s="72">
        <f>IF('[1]Leakage Tree Data'!C140&lt;&gt;"",'[1]Leakage Tree Data'!C140,"")</f>
        <v>121171760.292236</v>
      </c>
      <c s="72">
        <f>IF('[1]Leakage Tree Data'!D140&lt;&gt;"",'[1]Leakage Tree Data'!D140,"")</f>
        <v>5894804.65423584</v>
      </c>
      <c s="72">
        <f>IF('[1]Leakage Tree Data'!E140&lt;&gt;"",'[1]Leakage Tree Data'!E140,"")</f>
        <v>4.8648337203479</v>
      </c>
      <c s="72">
        <f>IF('[1]Leakage Tree Data'!F140&lt;&gt;"",'[1]Leakage Tree Data'!F140,"")</f>
        <v>115276955.638</v>
      </c>
      <c s="72">
        <f>IF('[1]Leakage Tree Data'!G140&lt;&gt;"",'[1]Leakage Tree Data'!G140,"")</f>
        <v>95.1351662796521</v>
      </c>
      <c s="72">
        <f>IF('[1]Leakage Tree Data'!H140&lt;&gt;"",'[1]Leakage Tree Data'!H140,"")</f>
        <v>61518209.9918823</v>
      </c>
      <c s="72" t="str">
        <f>IF('[1]Leakage Tree Data'!I140&lt;&gt;"",'[1]Leakage Tree Data'!I140,"")</f>
        <v>Internet</v>
      </c>
      <c s="72">
        <f>IF('[1]Leakage Tree Data'!J140&lt;&gt;"",'[1]Leakage Tree Data'!J140,"")</f>
        <v>99.7039418747657</v>
      </c>
      <c s="72">
        <f>IF('[1]Leakage Tree Data'!K140&lt;&gt;"",'[1]Leakage Tree Data'!K140,"")</f>
        <v>182129.659179688</v>
      </c>
      <c s="72">
        <f>IF('[1]Leakage Tree Data'!L140&lt;&gt;"",'[1]Leakage Tree Data'!L140,"")</f>
      </c>
      <c s="72">
        <f>IF('[1]Leakage Tree Data'!M140&lt;&gt;"",'[1]Leakage Tree Data'!M140,"")</f>
      </c>
      <c s="72">
        <f>IF('[1]Leakage Tree Data'!N140&lt;&gt;"",'[1]Leakage Tree Data'!N140,"")</f>
      </c>
      <c s="72">
        <f>IF('[1]Leakage Tree Data'!O140&lt;&gt;"",'[1]Leakage Tree Data'!O140,"")</f>
        <v>4.74806819367295</v>
      </c>
      <c s="72">
        <f>IF('[1]Leakage Tree Data'!P140&lt;&gt;"",'[1]Leakage Tree Data'!P140,"")</f>
        <v>1316858.25396986</v>
      </c>
      <c s="72">
        <f>IF('[1]Leakage Tree Data'!Q140&lt;&gt;"",'[1]Leakage Tree Data'!Q140,"")</f>
      </c>
      <c s="72">
        <f>IF('[1]Leakage Tree Data'!R140&lt;&gt;"",'[1]Leakage Tree Data'!R140,"")</f>
        <v>1017625.85098267</v>
      </c>
      <c s="72">
        <f>IF('[1]Leakage Tree Data'!S140&lt;&gt;"",'[1]Leakage Tree Data'!S140,"")</f>
        <v>636618.510070801</v>
      </c>
      <c s="72">
        <f>IF('[1]Leakage Tree Data'!T140&lt;&gt;"",'[1]Leakage Tree Data'!T140,"")</f>
        <v>0.488632960701217</v>
      </c>
      <c s="72">
        <f>IF('[1]Leakage Tree Data'!U140&lt;&gt;"",'[1]Leakage Tree Data'!U140,"")</f>
        <v>381007.340911865</v>
      </c>
      <c s="72">
        <f>IF('[1]Leakage Tree Data'!V140&lt;&gt;"",'[1]Leakage Tree Data'!V140,"")</f>
        <v>-0.488632960701224</v>
      </c>
      <c s="72">
        <f>IF('[1]Leakage Tree Data'!W140&lt;&gt;"",'[1]Leakage Tree Data'!W140,"")</f>
        <v>-1855949.2237854</v>
      </c>
      <c s="72">
        <f>IF('[1]Leakage Tree Data'!X140&lt;&gt;"",'[1]Leakage Tree Data'!X140,"")</f>
      </c>
      <c s="72">
        <f>IF('[1]Leakage Tree Data'!Y140&lt;&gt;"",'[1]Leakage Tree Data'!Y140,"")</f>
        <v>-0.0248285183448758</v>
      </c>
      <c s="72">
        <f>IF('[1]Leakage Tree Data'!Z140&lt;&gt;"",'[1]Leakage Tree Data'!Z140,"")</f>
        <v>10240.1762695313</v>
      </c>
      <c s="72">
        <f>IF('[1]Leakage Tree Data'!AA140&lt;&gt;"",'[1]Leakage Tree Data'!AA140,"")</f>
      </c>
      <c s="72">
        <f>IF('[1]Leakage Tree Data'!AB140&lt;&gt;"",'[1]Leakage Tree Data'!AB140,"")</f>
      </c>
      <c s="72">
        <f>IF('[1]Leakage Tree Data'!AC140&lt;&gt;"",'[1]Leakage Tree Data'!AC140,"")</f>
      </c>
      <c s="72">
        <f>IF('[1]Leakage Tree Data'!AD140&lt;&gt;"",'[1]Leakage Tree Data'!AD140,"")</f>
        <v>-0.195777219863273</v>
      </c>
      <c s="72">
        <f>IF('[1]Leakage Tree Data'!AE140&lt;&gt;"",'[1]Leakage Tree Data'!AE140,"")</f>
      </c>
      <c s="73">
        <f t="shared" ref="EC241:EC259" si="126">IF(AND(CV241=CW241,CV241&lt;&gt;"",DJ241&lt;&gt;""),IF(AND(ISERROR(FIND("NeighMkt",$CX$102))=FALSE,LEFT($CW$111,10)="ALL OUTLET"),DJ241-IF(ISERROR(VLOOKUP(CV241,$CA$113:$DK$300,36,FALSE))=TRUE,0,IF(VLOOKUP(CV241,$CA$113:$DK$300,36,FALSE)="",0,VLOOKUP(CV241,$CA$113:$DK$300,36,FALSE))),DJ241),"")</f>
      </c>
      <c s="73">
        <f t="shared" ref="ED241:ED259" si="127">IF(AND(CV241=CW241,CV241&lt;&gt;"",DI$111&lt;&gt;"",DK241&lt;&gt;""),IF(CW$101="Y",DK241-IF(ISERROR(VLOOKUP(CV241,$CA$113:$DK$300,37,FALSE))=TRUE,0,IF(VLOOKUP(CV241,$CA$113:$DK$300,37,FALSE)="",0,VLOOKUP(CV241,$CA$113:$DK$300,37,FALSE))),DK241-IF(AND(CW$102="Y",CV241=$CW$111),DI$111,0)),"")</f>
      </c>
      <c s="73">
        <f t="shared" ref="EE241:EE259" si="128">IF(AND(CV241=CW241,CV241&lt;&gt;"",DJ241&lt;&gt;"",DY241&lt;&gt;""),IF(AND(ISERROR(FIND("NeighMkt",$CX$102))=FALSE,LEFT($CW$111,10)="ALL OUTLET"),DY241-IF(ISERROR(VLOOKUP(CV241,$CA$113:$DZ$300,51,FALSE))=TRUE,0,IF(VLOOKUP(CV241,$CA$113:$DZ$300,51,FALSE)="",0,VLOOKUP(CV241,$CA$113:$DZ$300,51,FALSE))),DY241),"")</f>
      </c>
      <c s="73">
        <f t="shared" ref="EF241:EF259" si="129">IF(AND(CV241=CW241,CV241&lt;&gt;"",DI$111&lt;&gt;"",DK241&lt;&gt;"",DZ241&lt;&gt;""),IF(CW$101="Y",DZ241-IF(ISERROR(VLOOKUP(CV241,$CA$113:$DZ$300,52,FALSE))=TRUE,0,IF(VLOOKUP(CV241,$CA$113:$DZ$300,52,FALSE)="",0,VLOOKUP(CV241,$CA$113:$DZ$300,52,FALSE))),DZ241-IF(AND(CW$102="Y",CV241=$CW$111),DX$111,0)),"")</f>
      </c>
      <c s="74">
        <f t="shared" si="108"/>
      </c>
      <c s="74">
        <f t="shared" si="109"/>
      </c>
      <c s="69" t="str">
        <f t="shared" si="110"/>
        <v>Total US - Target.com</v>
      </c>
      <c s="69" t="str">
        <f t="shared" si="111"/>
        <v>Total US - Internet</v>
      </c>
      <c s="77"/>
    </row>
    <row r="242" spans="1:141" s="92" customFormat="1" ht="15">
      <c r="A24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 t="shared" si="112"/>
      </c>
      <c s="76">
        <f t="shared" si="113"/>
      </c>
      <c s="75">
        <f t="shared" si="102"/>
      </c>
      <c s="76">
        <f t="shared" si="114"/>
      </c>
      <c s="75">
        <f t="shared" si="103"/>
      </c>
      <c s="76">
        <f t="shared" si="115"/>
      </c>
      <c s="75">
        <f t="shared" si="104"/>
      </c>
      <c s="76">
        <f t="shared" si="116"/>
      </c>
      <c s="75">
        <f t="shared" ref="CJ242:CJ260" si="130">IF(ISERROR(VLOOKUP(CV242,$AL$8:$AL$14,1,FALSE))=TRUE,IF(AND(ISERROR(FIND("NeighMkt",$CX$102))=FALSE,LEFT($CW$111,10)="ALL OUTLET",$CA242&lt;&gt;"",DK242&lt;&gt;""),"",IF($Z$4="",IF(AND($CV242&lt;&gt;$CW242,$CW242=CJ$110),$DK242,""),IF(AND($CV242&lt;&gt;$CW242,$CW242&lt;&gt;CD$110,$CW242&lt;&gt;CF$110,$CW242&lt;&gt;CH$110,$CW242&lt;&gt;$CV$111),$DK242,""))),"")</f>
      </c>
      <c s="76">
        <f t="shared" si="117"/>
      </c>
      <c s="75">
        <f t="shared" si="118"/>
      </c>
      <c s="76">
        <f t="shared" si="119"/>
      </c>
      <c s="75">
        <f t="shared" si="105"/>
      </c>
      <c s="76">
        <f t="shared" si="120"/>
      </c>
      <c s="75">
        <f t="shared" si="106"/>
      </c>
      <c s="76">
        <f t="shared" si="121"/>
      </c>
      <c s="75">
        <f t="shared" si="107"/>
      </c>
      <c s="76">
        <f t="shared" si="122"/>
      </c>
      <c s="75">
        <f t="shared" ref="CT242:CT260" si="131">IF(ISERROR(VLOOKUP(CV242,$AL$8:$AL$14,1,FALSE))=TRUE,IF(AND(ISERROR(FIND("NeighMkt",$CX$102))=FALSE,LEFT($CW$111,10)="ALL OUTLET",$CA242&lt;&gt;"",DJ242&lt;&gt;""),"",IF($Z$4="",IF(AND($CV242&lt;&gt;$CW242,$CW242=CT$110),$DJ242,""),IF(AND($CV242&lt;&gt;$CW242,$CW242&lt;&gt;CN$110,$CW242&lt;&gt;CP$110,$CW242&lt;&gt;CR$110,$CW242&lt;&gt;$CV$111),$DJ242,""))),"")</f>
      </c>
      <c s="76">
        <f t="shared" si="123"/>
      </c>
      <c s="65" t="str">
        <f t="shared" si="124"/>
        <v>Ulta.com</v>
      </c>
      <c s="65" t="str">
        <f t="shared" si="125"/>
        <v>Internet</v>
      </c>
      <c s="72" t="str">
        <f>IF('[1]Leakage Tree Data'!A141&lt;&gt;"",'[1]Leakage Tree Data'!A141,"")</f>
        <v>Total US - Ulta.com</v>
      </c>
      <c s="72" t="str">
        <f>IF('[1]Leakage Tree Data'!B141&lt;&gt;"",'[1]Leakage Tree Data'!B141,"")</f>
        <v>Total US - Internet</v>
      </c>
      <c s="72">
        <f>IF('[1]Leakage Tree Data'!C141&lt;&gt;"",'[1]Leakage Tree Data'!C141,"")</f>
        <v>121171760.292236</v>
      </c>
      <c s="72">
        <f>IF('[1]Leakage Tree Data'!D141&lt;&gt;"",'[1]Leakage Tree Data'!D141,"")</f>
        <v>654080.732788086</v>
      </c>
      <c s="72">
        <f>IF('[1]Leakage Tree Data'!E141&lt;&gt;"",'[1]Leakage Tree Data'!E141,"")</f>
        <v>0.539796344635586</v>
      </c>
      <c s="72">
        <f>IF('[1]Leakage Tree Data'!F141&lt;&gt;"",'[1]Leakage Tree Data'!F141,"")</f>
        <v>120517679.559448</v>
      </c>
      <c s="72">
        <f>IF('[1]Leakage Tree Data'!G141&lt;&gt;"",'[1]Leakage Tree Data'!G141,"")</f>
        <v>99.4602036553644</v>
      </c>
      <c s="72">
        <f>IF('[1]Leakage Tree Data'!H141&lt;&gt;"",'[1]Leakage Tree Data'!H141,"")</f>
        <v>61518209.9918823</v>
      </c>
      <c s="72" t="str">
        <f>IF('[1]Leakage Tree Data'!I141&lt;&gt;"",'[1]Leakage Tree Data'!I141,"")</f>
        <v>Internet</v>
      </c>
      <c s="72">
        <f>IF('[1]Leakage Tree Data'!J141&lt;&gt;"",'[1]Leakage Tree Data'!J141,"")</f>
      </c>
      <c s="72">
        <f>IF('[1]Leakage Tree Data'!K141&lt;&gt;"",'[1]Leakage Tree Data'!K141,"")</f>
      </c>
      <c s="72">
        <f>IF('[1]Leakage Tree Data'!L141&lt;&gt;"",'[1]Leakage Tree Data'!L141,"")</f>
      </c>
      <c s="72">
        <f>IF('[1]Leakage Tree Data'!M141&lt;&gt;"",'[1]Leakage Tree Data'!M141,"")</f>
      </c>
      <c s="72">
        <f>IF('[1]Leakage Tree Data'!N141&lt;&gt;"",'[1]Leakage Tree Data'!N141,"")</f>
      </c>
      <c s="72">
        <f>IF('[1]Leakage Tree Data'!O141&lt;&gt;"",'[1]Leakage Tree Data'!O141,"")</f>
      </c>
      <c s="72">
        <f>IF('[1]Leakage Tree Data'!P141&lt;&gt;"",'[1]Leakage Tree Data'!P141,"")</f>
      </c>
      <c s="72">
        <f>IF('[1]Leakage Tree Data'!Q141&lt;&gt;"",'[1]Leakage Tree Data'!Q141,"")</f>
      </c>
      <c s="72">
        <f>IF('[1]Leakage Tree Data'!R141&lt;&gt;"",'[1]Leakage Tree Data'!R141,"")</f>
        <v>1017625.85098267</v>
      </c>
      <c s="72">
        <f>IF('[1]Leakage Tree Data'!S141&lt;&gt;"",'[1]Leakage Tree Data'!S141,"")</f>
        <v>-66530.2734985352</v>
      </c>
      <c s="72">
        <f>IF('[1]Leakage Tree Data'!T141&lt;&gt;"",'[1]Leakage Tree Data'!T141,"")</f>
        <v>-0.059942490517811</v>
      </c>
      <c s="72">
        <f>IF('[1]Leakage Tree Data'!U141&lt;&gt;"",'[1]Leakage Tree Data'!U141,"")</f>
        <v>1084156.1244812</v>
      </c>
      <c s="72">
        <f>IF('[1]Leakage Tree Data'!V141&lt;&gt;"",'[1]Leakage Tree Data'!V141,"")</f>
        <v>0.0599424905178125</v>
      </c>
      <c s="72">
        <f>IF('[1]Leakage Tree Data'!W141&lt;&gt;"",'[1]Leakage Tree Data'!W141,"")</f>
        <v>-1855949.2237854</v>
      </c>
      <c s="72">
        <f>IF('[1]Leakage Tree Data'!X141&lt;&gt;"",'[1]Leakage Tree Data'!X141,"")</f>
      </c>
      <c s="72">
        <f>IF('[1]Leakage Tree Data'!Y141&lt;&gt;"",'[1]Leakage Tree Data'!Y141,"")</f>
      </c>
      <c s="72">
        <f>IF('[1]Leakage Tree Data'!Z141&lt;&gt;"",'[1]Leakage Tree Data'!Z141,"")</f>
      </c>
      <c s="72">
        <f>IF('[1]Leakage Tree Data'!AA141&lt;&gt;"",'[1]Leakage Tree Data'!AA141,"")</f>
      </c>
      <c s="72">
        <f>IF('[1]Leakage Tree Data'!AB141&lt;&gt;"",'[1]Leakage Tree Data'!AB141,"")</f>
      </c>
      <c s="72">
        <f>IF('[1]Leakage Tree Data'!AC141&lt;&gt;"",'[1]Leakage Tree Data'!AC141,"")</f>
      </c>
      <c s="72">
        <f>IF('[1]Leakage Tree Data'!AD141&lt;&gt;"",'[1]Leakage Tree Data'!AD141,"")</f>
      </c>
      <c s="72">
        <f>IF('[1]Leakage Tree Data'!AE141&lt;&gt;"",'[1]Leakage Tree Data'!AE141,"")</f>
      </c>
      <c s="73">
        <f t="shared" si="126"/>
      </c>
      <c s="73">
        <f t="shared" si="127"/>
      </c>
      <c s="73">
        <f t="shared" si="128"/>
      </c>
      <c s="73">
        <f t="shared" si="129"/>
      </c>
      <c s="74">
        <f t="shared" si="108"/>
      </c>
      <c s="74">
        <f t="shared" si="109"/>
      </c>
      <c s="69" t="str">
        <f t="shared" si="110"/>
        <v>Total US - Ulta.com</v>
      </c>
      <c s="69" t="str">
        <f t="shared" si="111"/>
        <v>Total US - Internet</v>
      </c>
      <c s="77"/>
    </row>
    <row r="243" spans="1:141" s="92" customFormat="1" ht="15">
      <c r="A24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 t="shared" si="112"/>
      </c>
      <c s="76">
        <f t="shared" si="113"/>
      </c>
      <c s="75">
        <f t="shared" si="102"/>
      </c>
      <c s="76">
        <f t="shared" si="114"/>
      </c>
      <c s="75">
        <f t="shared" si="103"/>
      </c>
      <c s="76">
        <f t="shared" si="115"/>
      </c>
      <c s="75">
        <f t="shared" si="104"/>
      </c>
      <c s="76">
        <f t="shared" si="116"/>
      </c>
      <c s="75">
        <f t="shared" si="130"/>
      </c>
      <c s="76">
        <f t="shared" si="117"/>
      </c>
      <c s="75">
        <f t="shared" si="118"/>
      </c>
      <c s="76">
        <f t="shared" si="119"/>
      </c>
      <c s="75">
        <f t="shared" si="105"/>
      </c>
      <c s="76">
        <f t="shared" si="120"/>
      </c>
      <c s="75">
        <f t="shared" si="106"/>
      </c>
      <c s="76">
        <f t="shared" si="121"/>
      </c>
      <c s="75">
        <f t="shared" si="107"/>
      </c>
      <c s="76">
        <f t="shared" si="122"/>
      </c>
      <c s="75">
        <f t="shared" si="131"/>
      </c>
      <c s="76">
        <f t="shared" si="123"/>
      </c>
      <c s="65" t="str">
        <f t="shared" si="124"/>
        <v>Vitacost.com</v>
      </c>
      <c s="65" t="str">
        <f t="shared" si="125"/>
        <v>Internet</v>
      </c>
      <c s="72" t="str">
        <f>IF('[1]Leakage Tree Data'!A142&lt;&gt;"",'[1]Leakage Tree Data'!A142,"")</f>
        <v>Total US - Vitacost.com</v>
      </c>
      <c s="72" t="str">
        <f>IF('[1]Leakage Tree Data'!B142&lt;&gt;"",'[1]Leakage Tree Data'!B142,"")</f>
        <v>Total US - Internet</v>
      </c>
      <c s="72">
        <f>IF('[1]Leakage Tree Data'!C142&lt;&gt;"",'[1]Leakage Tree Data'!C142,"")</f>
        <v>121171760.292236</v>
      </c>
      <c s="72">
        <f>IF('[1]Leakage Tree Data'!D142&lt;&gt;"",'[1]Leakage Tree Data'!D142,"")</f>
        <v>838311.959472656</v>
      </c>
      <c s="72">
        <f>IF('[1]Leakage Tree Data'!E142&lt;&gt;"",'[1]Leakage Tree Data'!E142,"")</f>
        <v>0.691837733025298</v>
      </c>
      <c s="72">
        <f>IF('[1]Leakage Tree Data'!F142&lt;&gt;"",'[1]Leakage Tree Data'!F142,"")</f>
        <v>120333448.332764</v>
      </c>
      <c s="72">
        <f>IF('[1]Leakage Tree Data'!G142&lt;&gt;"",'[1]Leakage Tree Data'!G142,"")</f>
        <v>99.3081622669747</v>
      </c>
      <c s="72">
        <f>IF('[1]Leakage Tree Data'!H142&lt;&gt;"",'[1]Leakage Tree Data'!H142,"")</f>
        <v>61518209.9918823</v>
      </c>
      <c s="72" t="str">
        <f>IF('[1]Leakage Tree Data'!I142&lt;&gt;"",'[1]Leakage Tree Data'!I142,"")</f>
        <v>Internet</v>
      </c>
      <c s="72">
        <f>IF('[1]Leakage Tree Data'!J142&lt;&gt;"",'[1]Leakage Tree Data'!J142,"")</f>
      </c>
      <c s="72">
        <f>IF('[1]Leakage Tree Data'!K142&lt;&gt;"",'[1]Leakage Tree Data'!K142,"")</f>
      </c>
      <c s="72">
        <f>IF('[1]Leakage Tree Data'!L142&lt;&gt;"",'[1]Leakage Tree Data'!L142,"")</f>
      </c>
      <c s="72">
        <f>IF('[1]Leakage Tree Data'!M142&lt;&gt;"",'[1]Leakage Tree Data'!M142,"")</f>
      </c>
      <c s="72">
        <f>IF('[1]Leakage Tree Data'!N142&lt;&gt;"",'[1]Leakage Tree Data'!N142,"")</f>
      </c>
      <c s="72">
        <f>IF('[1]Leakage Tree Data'!O142&lt;&gt;"",'[1]Leakage Tree Data'!O142,"")</f>
      </c>
      <c s="72">
        <f>IF('[1]Leakage Tree Data'!P142&lt;&gt;"",'[1]Leakage Tree Data'!P142,"")</f>
      </c>
      <c s="72">
        <f>IF('[1]Leakage Tree Data'!Q142&lt;&gt;"",'[1]Leakage Tree Data'!Q142,"")</f>
      </c>
      <c s="72">
        <f>IF('[1]Leakage Tree Data'!R142&lt;&gt;"",'[1]Leakage Tree Data'!R142,"")</f>
        <v>1017625.85098267</v>
      </c>
      <c s="72">
        <f>IF('[1]Leakage Tree Data'!S142&lt;&gt;"",'[1]Leakage Tree Data'!S142,"")</f>
        <v>123364.483978271</v>
      </c>
      <c s="72">
        <f>IF('[1]Leakage Tree Data'!T142&lt;&gt;"",'[1]Leakage Tree Data'!T142,"")</f>
        <v>0.096812452522828</v>
      </c>
      <c s="72">
        <f>IF('[1]Leakage Tree Data'!U142&lt;&gt;"",'[1]Leakage Tree Data'!U142,"")</f>
        <v>894261.367004395</v>
      </c>
      <c s="72">
        <f>IF('[1]Leakage Tree Data'!V142&lt;&gt;"",'[1]Leakage Tree Data'!V142,"")</f>
        <v>-0.0968124525228262</v>
      </c>
      <c s="72">
        <f>IF('[1]Leakage Tree Data'!W142&lt;&gt;"",'[1]Leakage Tree Data'!W142,"")</f>
        <v>-1855949.2237854</v>
      </c>
      <c s="72">
        <f>IF('[1]Leakage Tree Data'!X142&lt;&gt;"",'[1]Leakage Tree Data'!X142,"")</f>
      </c>
      <c s="72">
        <f>IF('[1]Leakage Tree Data'!Y142&lt;&gt;"",'[1]Leakage Tree Data'!Y142,"")</f>
      </c>
      <c s="72">
        <f>IF('[1]Leakage Tree Data'!Z142&lt;&gt;"",'[1]Leakage Tree Data'!Z142,"")</f>
      </c>
      <c s="72">
        <f>IF('[1]Leakage Tree Data'!AA142&lt;&gt;"",'[1]Leakage Tree Data'!AA142,"")</f>
      </c>
      <c s="72">
        <f>IF('[1]Leakage Tree Data'!AB142&lt;&gt;"",'[1]Leakage Tree Data'!AB142,"")</f>
      </c>
      <c s="72">
        <f>IF('[1]Leakage Tree Data'!AC142&lt;&gt;"",'[1]Leakage Tree Data'!AC142,"")</f>
      </c>
      <c s="72">
        <f>IF('[1]Leakage Tree Data'!AD142&lt;&gt;"",'[1]Leakage Tree Data'!AD142,"")</f>
      </c>
      <c s="72">
        <f>IF('[1]Leakage Tree Data'!AE142&lt;&gt;"",'[1]Leakage Tree Data'!AE142,"")</f>
      </c>
      <c s="73">
        <f t="shared" si="126"/>
      </c>
      <c s="73">
        <f t="shared" si="127"/>
      </c>
      <c s="73">
        <f t="shared" si="128"/>
      </c>
      <c s="73">
        <f t="shared" si="129"/>
      </c>
      <c s="74">
        <f t="shared" si="108"/>
      </c>
      <c s="74">
        <f t="shared" si="109"/>
      </c>
      <c s="69" t="str">
        <f t="shared" si="110"/>
        <v>Total US - Vitacost.com</v>
      </c>
      <c s="69" t="str">
        <f t="shared" si="111"/>
        <v>Total US - Internet</v>
      </c>
      <c s="77"/>
    </row>
    <row r="244" spans="1:141" s="92" customFormat="1" ht="15">
      <c r="A24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 t="shared" si="112"/>
      </c>
      <c s="76">
        <f t="shared" si="113"/>
      </c>
      <c s="75">
        <f t="shared" si="102"/>
      </c>
      <c s="76">
        <f t="shared" si="114"/>
      </c>
      <c s="75">
        <f t="shared" si="103"/>
      </c>
      <c s="76">
        <f t="shared" si="115"/>
      </c>
      <c s="75">
        <f t="shared" si="104"/>
      </c>
      <c s="76">
        <f t="shared" si="116"/>
      </c>
      <c s="75">
        <f t="shared" si="130"/>
      </c>
      <c s="76">
        <f t="shared" si="117"/>
      </c>
      <c s="75">
        <f t="shared" si="118"/>
      </c>
      <c s="76">
        <f t="shared" si="119"/>
      </c>
      <c s="75">
        <f t="shared" si="105"/>
      </c>
      <c s="76">
        <f t="shared" si="120"/>
      </c>
      <c s="75">
        <f t="shared" si="106"/>
      </c>
      <c s="76">
        <f t="shared" si="121"/>
      </c>
      <c s="75">
        <f t="shared" si="107"/>
      </c>
      <c s="76">
        <f t="shared" si="122"/>
      </c>
      <c s="75">
        <f t="shared" si="131"/>
      </c>
      <c s="76">
        <f t="shared" si="123"/>
      </c>
      <c s="65" t="str">
        <f t="shared" si="124"/>
        <v>Vitaminshop.com</v>
      </c>
      <c s="65" t="str">
        <f t="shared" si="125"/>
        <v>Internet</v>
      </c>
      <c s="72" t="str">
        <f>IF('[1]Leakage Tree Data'!A143&lt;&gt;"",'[1]Leakage Tree Data'!A143,"")</f>
        <v>Total US - Vitaminshop.com</v>
      </c>
      <c s="72" t="str">
        <f>IF('[1]Leakage Tree Data'!B143&lt;&gt;"",'[1]Leakage Tree Data'!B143,"")</f>
        <v>Total US - Internet</v>
      </c>
      <c s="72">
        <f>IF('[1]Leakage Tree Data'!C143&lt;&gt;"",'[1]Leakage Tree Data'!C143,"")</f>
        <v>121171760.292236</v>
      </c>
      <c s="72">
        <f>IF('[1]Leakage Tree Data'!D143&lt;&gt;"",'[1]Leakage Tree Data'!D143,"")</f>
        <v>1571952.77203369</v>
      </c>
      <c s="72">
        <f>IF('[1]Leakage Tree Data'!E143&lt;&gt;"",'[1]Leakage Tree Data'!E143,"")</f>
        <v>1.29729300642537</v>
      </c>
      <c s="72">
        <f>IF('[1]Leakage Tree Data'!F143&lt;&gt;"",'[1]Leakage Tree Data'!F143,"")</f>
        <v>119599807.520203</v>
      </c>
      <c s="72">
        <f>IF('[1]Leakage Tree Data'!G143&lt;&gt;"",'[1]Leakage Tree Data'!G143,"")</f>
        <v>98.7027069935746</v>
      </c>
      <c s="72">
        <f>IF('[1]Leakage Tree Data'!H143&lt;&gt;"",'[1]Leakage Tree Data'!H143,"")</f>
        <v>61518209.9918823</v>
      </c>
      <c s="72" t="str">
        <f>IF('[1]Leakage Tree Data'!I143&lt;&gt;"",'[1]Leakage Tree Data'!I143,"")</f>
        <v>Internet</v>
      </c>
      <c s="72">
        <f>IF('[1]Leakage Tree Data'!J143&lt;&gt;"",'[1]Leakage Tree Data'!J143,"")</f>
      </c>
      <c s="72">
        <f>IF('[1]Leakage Tree Data'!K143&lt;&gt;"",'[1]Leakage Tree Data'!K143,"")</f>
      </c>
      <c s="72">
        <f>IF('[1]Leakage Tree Data'!L143&lt;&gt;"",'[1]Leakage Tree Data'!L143,"")</f>
      </c>
      <c s="72">
        <f>IF('[1]Leakage Tree Data'!M143&lt;&gt;"",'[1]Leakage Tree Data'!M143,"")</f>
      </c>
      <c s="72">
        <f>IF('[1]Leakage Tree Data'!N143&lt;&gt;"",'[1]Leakage Tree Data'!N143,"")</f>
      </c>
      <c s="72">
        <f>IF('[1]Leakage Tree Data'!O143&lt;&gt;"",'[1]Leakage Tree Data'!O143,"")</f>
      </c>
      <c s="72">
        <f>IF('[1]Leakage Tree Data'!P143&lt;&gt;"",'[1]Leakage Tree Data'!P143,"")</f>
      </c>
      <c s="72">
        <f>IF('[1]Leakage Tree Data'!Q143&lt;&gt;"",'[1]Leakage Tree Data'!Q143,"")</f>
      </c>
      <c s="72">
        <f>IF('[1]Leakage Tree Data'!R143&lt;&gt;"",'[1]Leakage Tree Data'!R143,"")</f>
        <v>1017625.85098267</v>
      </c>
      <c s="72">
        <f>IF('[1]Leakage Tree Data'!S143&lt;&gt;"",'[1]Leakage Tree Data'!S143,"")</f>
        <v>-69831.3343505859</v>
      </c>
      <c s="72">
        <f>IF('[1]Leakage Tree Data'!T143&lt;&gt;"",'[1]Leakage Tree Data'!T143,"")</f>
        <v>-0.0691053401808304</v>
      </c>
      <c s="72">
        <f>IF('[1]Leakage Tree Data'!U143&lt;&gt;"",'[1]Leakage Tree Data'!U143,"")</f>
        <v>1087457.18533325</v>
      </c>
      <c s="72">
        <f>IF('[1]Leakage Tree Data'!V143&lt;&gt;"",'[1]Leakage Tree Data'!V143,"")</f>
        <v>0.0691053401808404</v>
      </c>
      <c s="72">
        <f>IF('[1]Leakage Tree Data'!W143&lt;&gt;"",'[1]Leakage Tree Data'!W143,"")</f>
        <v>-1855949.2237854</v>
      </c>
      <c s="72">
        <f>IF('[1]Leakage Tree Data'!X143&lt;&gt;"",'[1]Leakage Tree Data'!X143,"")</f>
      </c>
      <c s="72">
        <f>IF('[1]Leakage Tree Data'!Y143&lt;&gt;"",'[1]Leakage Tree Data'!Y143,"")</f>
      </c>
      <c s="72">
        <f>IF('[1]Leakage Tree Data'!Z143&lt;&gt;"",'[1]Leakage Tree Data'!Z143,"")</f>
      </c>
      <c s="72">
        <f>IF('[1]Leakage Tree Data'!AA143&lt;&gt;"",'[1]Leakage Tree Data'!AA143,"")</f>
      </c>
      <c s="72">
        <f>IF('[1]Leakage Tree Data'!AB143&lt;&gt;"",'[1]Leakage Tree Data'!AB143,"")</f>
      </c>
      <c s="72">
        <f>IF('[1]Leakage Tree Data'!AC143&lt;&gt;"",'[1]Leakage Tree Data'!AC143,"")</f>
      </c>
      <c s="72">
        <f>IF('[1]Leakage Tree Data'!AD143&lt;&gt;"",'[1]Leakage Tree Data'!AD143,"")</f>
      </c>
      <c s="72">
        <f>IF('[1]Leakage Tree Data'!AE143&lt;&gt;"",'[1]Leakage Tree Data'!AE143,"")</f>
      </c>
      <c s="73">
        <f t="shared" si="126"/>
      </c>
      <c s="73">
        <f t="shared" si="127"/>
      </c>
      <c s="73">
        <f t="shared" si="128"/>
      </c>
      <c s="73">
        <f t="shared" si="129"/>
      </c>
      <c s="74">
        <f t="shared" si="108"/>
      </c>
      <c s="74">
        <f t="shared" si="109"/>
      </c>
      <c s="69" t="str">
        <f t="shared" si="110"/>
        <v>Total US - Vitaminshop.com</v>
      </c>
      <c s="69" t="str">
        <f t="shared" si="111"/>
        <v>Total US - Internet</v>
      </c>
      <c s="77"/>
    </row>
    <row r="245" spans="1:141" s="92" customFormat="1" ht="15">
      <c r="A24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 t="shared" si="112"/>
      </c>
      <c s="76">
        <f t="shared" si="113"/>
      </c>
      <c s="75">
        <f t="shared" si="102"/>
      </c>
      <c s="76">
        <f t="shared" si="114"/>
      </c>
      <c s="75">
        <f t="shared" si="103"/>
      </c>
      <c s="76">
        <f t="shared" si="115"/>
      </c>
      <c s="75">
        <f t="shared" si="104"/>
      </c>
      <c s="76">
        <f t="shared" si="116"/>
      </c>
      <c s="75">
        <f t="shared" si="130"/>
      </c>
      <c s="76">
        <f t="shared" si="117"/>
      </c>
      <c s="75">
        <f t="shared" si="118"/>
      </c>
      <c s="76">
        <f t="shared" si="119"/>
      </c>
      <c s="75">
        <f t="shared" si="105"/>
      </c>
      <c s="76">
        <f t="shared" si="120"/>
      </c>
      <c s="75">
        <f t="shared" si="106"/>
      </c>
      <c s="76">
        <f t="shared" si="121"/>
      </c>
      <c s="75">
        <f t="shared" si="107"/>
      </c>
      <c s="76">
        <f t="shared" si="122"/>
      </c>
      <c s="75">
        <f t="shared" si="131"/>
      </c>
      <c s="76">
        <f t="shared" si="123"/>
      </c>
      <c s="65" t="str">
        <f t="shared" si="124"/>
        <v>Walgreens.com</v>
      </c>
      <c s="65" t="str">
        <f t="shared" si="125"/>
        <v>Internet</v>
      </c>
      <c s="72" t="str">
        <f>IF('[1]Leakage Tree Data'!A144&lt;&gt;"",'[1]Leakage Tree Data'!A144,"")</f>
        <v>Total US - Walgreens.com</v>
      </c>
      <c s="72" t="str">
        <f>IF('[1]Leakage Tree Data'!B144&lt;&gt;"",'[1]Leakage Tree Data'!B144,"")</f>
        <v>Total US - Internet</v>
      </c>
      <c s="72">
        <f>IF('[1]Leakage Tree Data'!C144&lt;&gt;"",'[1]Leakage Tree Data'!C144,"")</f>
        <v>121171760.292236</v>
      </c>
      <c s="72">
        <f>IF('[1]Leakage Tree Data'!D144&lt;&gt;"",'[1]Leakage Tree Data'!D144,"")</f>
        <v>3271487.08978271</v>
      </c>
      <c s="72">
        <f>IF('[1]Leakage Tree Data'!E144&lt;&gt;"",'[1]Leakage Tree Data'!E144,"")</f>
        <v>2.69987584722108</v>
      </c>
      <c s="72">
        <f>IF('[1]Leakage Tree Data'!F144&lt;&gt;"",'[1]Leakage Tree Data'!F144,"")</f>
        <v>117900273.202454</v>
      </c>
      <c s="72">
        <f>IF('[1]Leakage Tree Data'!G144&lt;&gt;"",'[1]Leakage Tree Data'!G144,"")</f>
        <v>97.3001241527789</v>
      </c>
      <c s="72">
        <f>IF('[1]Leakage Tree Data'!H144&lt;&gt;"",'[1]Leakage Tree Data'!H144,"")</f>
        <v>61518209.9918823</v>
      </c>
      <c s="72" t="str">
        <f>IF('[1]Leakage Tree Data'!I144&lt;&gt;"",'[1]Leakage Tree Data'!I144,"")</f>
        <v>Internet</v>
      </c>
      <c s="72">
        <f>IF('[1]Leakage Tree Data'!J144&lt;&gt;"",'[1]Leakage Tree Data'!J144,"")</f>
      </c>
      <c s="72">
        <f>IF('[1]Leakage Tree Data'!K144&lt;&gt;"",'[1]Leakage Tree Data'!K144,"")</f>
      </c>
      <c s="72">
        <f>IF('[1]Leakage Tree Data'!L144&lt;&gt;"",'[1]Leakage Tree Data'!L144,"")</f>
      </c>
      <c s="72">
        <f>IF('[1]Leakage Tree Data'!M144&lt;&gt;"",'[1]Leakage Tree Data'!M144,"")</f>
      </c>
      <c s="72">
        <f>IF('[1]Leakage Tree Data'!N144&lt;&gt;"",'[1]Leakage Tree Data'!N144,"")</f>
      </c>
      <c s="72">
        <f>IF('[1]Leakage Tree Data'!O144&lt;&gt;"",'[1]Leakage Tree Data'!O144,"")</f>
        <v>6.10309658169106</v>
      </c>
      <c s="72">
        <f>IF('[1]Leakage Tree Data'!P144&lt;&gt;"",'[1]Leakage Tree Data'!P144,"")</f>
        <v>527075.955890605</v>
      </c>
      <c s="72">
        <f>IF('[1]Leakage Tree Data'!Q144&lt;&gt;"",'[1]Leakage Tree Data'!Q144,"")</f>
      </c>
      <c s="72">
        <f>IF('[1]Leakage Tree Data'!R144&lt;&gt;"",'[1]Leakage Tree Data'!R144,"")</f>
        <v>1017625.85098267</v>
      </c>
      <c s="72">
        <f>IF('[1]Leakage Tree Data'!S144&lt;&gt;"",'[1]Leakage Tree Data'!S144,"")</f>
        <v>-255671.661560059</v>
      </c>
      <c s="72">
        <f>IF('[1]Leakage Tree Data'!T144&lt;&gt;"",'[1]Leakage Tree Data'!T144,"")</f>
        <v>-0.235652561971769</v>
      </c>
      <c s="72">
        <f>IF('[1]Leakage Tree Data'!U144&lt;&gt;"",'[1]Leakage Tree Data'!U144,"")</f>
        <v>1273297.51254272</v>
      </c>
      <c s="72">
        <f>IF('[1]Leakage Tree Data'!V144&lt;&gt;"",'[1]Leakage Tree Data'!V144,"")</f>
        <v>0.235652561971776</v>
      </c>
      <c s="72">
        <f>IF('[1]Leakage Tree Data'!W144&lt;&gt;"",'[1]Leakage Tree Data'!W144,"")</f>
        <v>-1855949.2237854</v>
      </c>
      <c s="72">
        <f>IF('[1]Leakage Tree Data'!X144&lt;&gt;"",'[1]Leakage Tree Data'!X144,"")</f>
      </c>
      <c s="72">
        <f>IF('[1]Leakage Tree Data'!Y144&lt;&gt;"",'[1]Leakage Tree Data'!Y144,"")</f>
      </c>
      <c s="72">
        <f>IF('[1]Leakage Tree Data'!Z144&lt;&gt;"",'[1]Leakage Tree Data'!Z144,"")</f>
      </c>
      <c s="72">
        <f>IF('[1]Leakage Tree Data'!AA144&lt;&gt;"",'[1]Leakage Tree Data'!AA144,"")</f>
      </c>
      <c s="72">
        <f>IF('[1]Leakage Tree Data'!AB144&lt;&gt;"",'[1]Leakage Tree Data'!AB144,"")</f>
      </c>
      <c s="72">
        <f>IF('[1]Leakage Tree Data'!AC144&lt;&gt;"",'[1]Leakage Tree Data'!AC144,"")</f>
      </c>
      <c s="72">
        <f>IF('[1]Leakage Tree Data'!AD144&lt;&gt;"",'[1]Leakage Tree Data'!AD144,"")</f>
        <v>0.335536092543816</v>
      </c>
      <c s="72">
        <f>IF('[1]Leakage Tree Data'!AE144&lt;&gt;"",'[1]Leakage Tree Data'!AE144,"")</f>
      </c>
      <c s="73">
        <f t="shared" si="126"/>
      </c>
      <c s="73">
        <f t="shared" si="127"/>
      </c>
      <c s="73">
        <f t="shared" si="128"/>
      </c>
      <c s="73">
        <f t="shared" si="129"/>
      </c>
      <c s="74">
        <f t="shared" si="108"/>
      </c>
      <c s="74">
        <f t="shared" si="109"/>
      </c>
      <c s="69" t="str">
        <f t="shared" si="110"/>
        <v>Total US - Walgreens.com</v>
      </c>
      <c s="69" t="str">
        <f t="shared" si="111"/>
        <v>Total US - Internet</v>
      </c>
      <c s="77"/>
    </row>
    <row r="246" spans="1:141" s="92" customFormat="1" ht="15">
      <c r="A24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 t="shared" si="112"/>
      </c>
      <c s="76">
        <f t="shared" si="113"/>
      </c>
      <c s="75">
        <f t="shared" si="102"/>
      </c>
      <c s="76">
        <f t="shared" si="114"/>
      </c>
      <c s="75">
        <f t="shared" si="103"/>
      </c>
      <c s="76">
        <f t="shared" si="115"/>
      </c>
      <c s="75">
        <f t="shared" si="104"/>
      </c>
      <c s="76">
        <f t="shared" si="116"/>
      </c>
      <c s="75">
        <f t="shared" si="130"/>
      </c>
      <c s="76">
        <f t="shared" si="117"/>
      </c>
      <c s="75">
        <f t="shared" si="118"/>
      </c>
      <c s="76">
        <f t="shared" si="119"/>
      </c>
      <c s="75">
        <f t="shared" si="105"/>
      </c>
      <c s="76">
        <f t="shared" si="120"/>
      </c>
      <c s="75">
        <f t="shared" si="106"/>
      </c>
      <c s="76">
        <f t="shared" si="121"/>
      </c>
      <c s="75">
        <f t="shared" si="107"/>
      </c>
      <c s="76">
        <f t="shared" si="122"/>
      </c>
      <c s="75">
        <f t="shared" si="131"/>
        <v>3300566.72251892</v>
      </c>
      <c s="76">
        <f t="shared" si="123"/>
        <v>14</v>
      </c>
      <c s="65" t="str">
        <f t="shared" si="124"/>
        <v>Walmart.com</v>
      </c>
      <c s="65" t="str">
        <f t="shared" si="125"/>
        <v>Internet</v>
      </c>
      <c s="72" t="str">
        <f>IF('[1]Leakage Tree Data'!A145&lt;&gt;"",'[1]Leakage Tree Data'!A145,"")</f>
        <v>Total US - Walmart.com</v>
      </c>
      <c s="72" t="str">
        <f>IF('[1]Leakage Tree Data'!B145&lt;&gt;"",'[1]Leakage Tree Data'!B145,"")</f>
        <v>Total US - Internet</v>
      </c>
      <c s="72">
        <f>IF('[1]Leakage Tree Data'!C145&lt;&gt;"",'[1]Leakage Tree Data'!C145,"")</f>
        <v>121171760.292236</v>
      </c>
      <c s="72">
        <f>IF('[1]Leakage Tree Data'!D145&lt;&gt;"",'[1]Leakage Tree Data'!D145,"")</f>
        <v>12606965.0080566</v>
      </c>
      <c s="72">
        <f>IF('[1]Leakage Tree Data'!E145&lt;&gt;"",'[1]Leakage Tree Data'!E145,"")</f>
        <v>10.4042105005752</v>
      </c>
      <c s="72">
        <f>IF('[1]Leakage Tree Data'!F145&lt;&gt;"",'[1]Leakage Tree Data'!F145,"")</f>
        <v>108564795.28418</v>
      </c>
      <c s="72">
        <f>IF('[1]Leakage Tree Data'!G145&lt;&gt;"",'[1]Leakage Tree Data'!G145,"")</f>
        <v>89.5957894994248</v>
      </c>
      <c s="72">
        <f>IF('[1]Leakage Tree Data'!H145&lt;&gt;"",'[1]Leakage Tree Data'!H145,"")</f>
        <v>61518209.9918823</v>
      </c>
      <c s="72" t="str">
        <f>IF('[1]Leakage Tree Data'!I145&lt;&gt;"",'[1]Leakage Tree Data'!I145,"")</f>
        <v>Internet</v>
      </c>
      <c s="72">
        <f>IF('[1]Leakage Tree Data'!J145&lt;&gt;"",'[1]Leakage Tree Data'!J145,"")</f>
        <v>99.4521868943263</v>
      </c>
      <c s="72">
        <f>IF('[1]Leakage Tree Data'!K145&lt;&gt;"",'[1]Leakage Tree Data'!K145,"")</f>
        <v>337004.816711426</v>
      </c>
      <c s="72">
        <f>IF('[1]Leakage Tree Data'!L145&lt;&gt;"",'[1]Leakage Tree Data'!L145,"")</f>
      </c>
      <c s="72">
        <f>IF('[1]Leakage Tree Data'!M145&lt;&gt;"",'[1]Leakage Tree Data'!M145,"")</f>
        <v>3300566.72251892</v>
      </c>
      <c s="72">
        <f>IF('[1]Leakage Tree Data'!N145&lt;&gt;"",'[1]Leakage Tree Data'!N145,"")</f>
      </c>
      <c s="72">
        <f>IF('[1]Leakage Tree Data'!O145&lt;&gt;"",'[1]Leakage Tree Data'!O145,"")</f>
        <v>8.96148905162194</v>
      </c>
      <c s="72">
        <f>IF('[1]Leakage Tree Data'!P145&lt;&gt;"",'[1]Leakage Tree Data'!P145,"")</f>
        <v>2337191.39306184</v>
      </c>
      <c s="72">
        <f>IF('[1]Leakage Tree Data'!Q145&lt;&gt;"",'[1]Leakage Tree Data'!Q145,"")</f>
      </c>
      <c s="72">
        <f>IF('[1]Leakage Tree Data'!R145&lt;&gt;"",'[1]Leakage Tree Data'!R145,"")</f>
        <v>1017625.85098267</v>
      </c>
      <c s="72">
        <f>IF('[1]Leakage Tree Data'!S145&lt;&gt;"",'[1]Leakage Tree Data'!S145,"")</f>
        <v>-1315948.34698486</v>
      </c>
      <c s="72">
        <f>IF('[1]Leakage Tree Data'!T145&lt;&gt;"",'[1]Leakage Tree Data'!T145,"")</f>
        <v>-1.18333363162342</v>
      </c>
      <c s="72">
        <f>IF('[1]Leakage Tree Data'!U145&lt;&gt;"",'[1]Leakage Tree Data'!U145,"")</f>
        <v>2333574.19796753</v>
      </c>
      <c s="72">
        <f>IF('[1]Leakage Tree Data'!V145&lt;&gt;"",'[1]Leakage Tree Data'!V145,"")</f>
        <v>1.18333363162343</v>
      </c>
      <c s="72">
        <f>IF('[1]Leakage Tree Data'!W145&lt;&gt;"",'[1]Leakage Tree Data'!W145,"")</f>
        <v>-1855949.2237854</v>
      </c>
      <c s="72">
        <f>IF('[1]Leakage Tree Data'!X145&lt;&gt;"",'[1]Leakage Tree Data'!X145,"")</f>
      </c>
      <c s="72">
        <f>IF('[1]Leakage Tree Data'!Y145&lt;&gt;"",'[1]Leakage Tree Data'!Y145,"")</f>
        <v>0.286755562971095</v>
      </c>
      <c s="72">
        <f>IF('[1]Leakage Tree Data'!Z145&lt;&gt;"",'[1]Leakage Tree Data'!Z145,"")</f>
        <v>-191896.060119629</v>
      </c>
      <c s="72">
        <f>IF('[1]Leakage Tree Data'!AA145&lt;&gt;"",'[1]Leakage Tree Data'!AA145,"")</f>
      </c>
      <c s="72">
        <f>IF('[1]Leakage Tree Data'!AB145&lt;&gt;"",'[1]Leakage Tree Data'!AB145,"")</f>
        <v>-691108.431259155</v>
      </c>
      <c s="72">
        <f>IF('[1]Leakage Tree Data'!AC145&lt;&gt;"",'[1]Leakage Tree Data'!AC145,"")</f>
      </c>
      <c s="72">
        <f>IF('[1]Leakage Tree Data'!AD145&lt;&gt;"",'[1]Leakage Tree Data'!AD145,"")</f>
        <v>-0.906634730045075</v>
      </c>
      <c s="72">
        <f>IF('[1]Leakage Tree Data'!AE145&lt;&gt;"",'[1]Leakage Tree Data'!AE145,"")</f>
      </c>
      <c s="73">
        <f t="shared" si="126"/>
      </c>
      <c s="73">
        <f t="shared" si="127"/>
      </c>
      <c s="73">
        <f t="shared" si="128"/>
      </c>
      <c s="73">
        <f t="shared" si="129"/>
      </c>
      <c s="74">
        <f t="shared" si="108"/>
      </c>
      <c s="74">
        <f t="shared" si="109"/>
      </c>
      <c s="69" t="str">
        <f t="shared" si="110"/>
        <v>Total US - Walmart.com</v>
      </c>
      <c s="69" t="str">
        <f t="shared" si="111"/>
        <v>Total US - Internet</v>
      </c>
      <c s="77"/>
    </row>
    <row r="247" spans="1:141" s="92" customFormat="1" ht="15">
      <c r="A24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 t="shared" si="112"/>
      </c>
      <c s="76">
        <f t="shared" si="113"/>
      </c>
      <c s="75">
        <f t="shared" si="102"/>
      </c>
      <c s="76">
        <f t="shared" si="114"/>
      </c>
      <c s="75">
        <f t="shared" si="103"/>
      </c>
      <c s="76">
        <f t="shared" si="115"/>
      </c>
      <c s="75">
        <f t="shared" si="104"/>
      </c>
      <c s="76">
        <f t="shared" si="116"/>
      </c>
      <c s="75">
        <f t="shared" si="130"/>
      </c>
      <c s="76">
        <f t="shared" si="117"/>
      </c>
      <c s="75">
        <f t="shared" si="118"/>
      </c>
      <c s="76">
        <f t="shared" si="119"/>
      </c>
      <c s="75">
        <f t="shared" si="105"/>
      </c>
      <c s="76">
        <f t="shared" si="120"/>
      </c>
      <c s="75">
        <f t="shared" si="106"/>
      </c>
      <c s="76">
        <f t="shared" si="121"/>
      </c>
      <c s="75">
        <f t="shared" si="107"/>
      </c>
      <c s="76">
        <f t="shared" si="122"/>
      </c>
      <c s="75">
        <f t="shared" si="131"/>
      </c>
      <c s="76">
        <f t="shared" si="123"/>
      </c>
      <c s="65" t="str">
        <f t="shared" si="124"/>
        <v>Liquor</v>
      </c>
      <c s="65" t="str">
        <f t="shared" si="125"/>
        <v>Liquor</v>
      </c>
      <c s="72" t="str">
        <f>IF('[1]Leakage Tree Data'!A146&lt;&gt;"",'[1]Leakage Tree Data'!A146,"")</f>
        <v>Total US - Liquor</v>
      </c>
      <c s="72" t="str">
        <f>IF('[1]Leakage Tree Data'!B146&lt;&gt;"",'[1]Leakage Tree Data'!B146,"")</f>
        <v>Total US - Liquor</v>
      </c>
      <c s="72">
        <f>IF('[1]Leakage Tree Data'!C146&lt;&gt;"",'[1]Leakage Tree Data'!C146,"")</f>
        <v>121171760.292236</v>
      </c>
      <c s="72">
        <f>IF('[1]Leakage Tree Data'!D146&lt;&gt;"",'[1]Leakage Tree Data'!D146,"")</f>
        <v>24268648.1451721</v>
      </c>
      <c s="72">
        <f>IF('[1]Leakage Tree Data'!E146&lt;&gt;"",'[1]Leakage Tree Data'!E146,"")</f>
        <v>20.0283036960445</v>
      </c>
      <c s="72">
        <f>IF('[1]Leakage Tree Data'!F146&lt;&gt;"",'[1]Leakage Tree Data'!F146,"")</f>
        <v>96903112.1470642</v>
      </c>
      <c s="72">
        <f>IF('[1]Leakage Tree Data'!G146&lt;&gt;"",'[1]Leakage Tree Data'!G146,"")</f>
        <v>79.9716963039555</v>
      </c>
      <c s="72">
        <f>IF('[1]Leakage Tree Data'!H146&lt;&gt;"",'[1]Leakage Tree Data'!H146,"")</f>
        <v>61518209.9918823</v>
      </c>
      <c s="72" t="str">
        <f>IF('[1]Leakage Tree Data'!I146&lt;&gt;"",'[1]Leakage Tree Data'!I146,"")</f>
        <v>Liquor</v>
      </c>
      <c s="72">
        <f>IF('[1]Leakage Tree Data'!J146&lt;&gt;"",'[1]Leakage Tree Data'!J146,"")</f>
      </c>
      <c s="72">
        <f>IF('[1]Leakage Tree Data'!K146&lt;&gt;"",'[1]Leakage Tree Data'!K146,"")</f>
      </c>
      <c s="72">
        <f>IF('[1]Leakage Tree Data'!L146&lt;&gt;"",'[1]Leakage Tree Data'!L146,"")</f>
      </c>
      <c s="72">
        <f>IF('[1]Leakage Tree Data'!M146&lt;&gt;"",'[1]Leakage Tree Data'!M146,"")</f>
      </c>
      <c s="72">
        <f>IF('[1]Leakage Tree Data'!N146&lt;&gt;"",'[1]Leakage Tree Data'!N146,"")</f>
      </c>
      <c s="72">
        <f>IF('[1]Leakage Tree Data'!O146&lt;&gt;"",'[1]Leakage Tree Data'!O146,"")</f>
        <v>0.385244452976824</v>
      </c>
      <c s="72">
        <f>IF('[1]Leakage Tree Data'!P146&lt;&gt;"",'[1]Leakage Tree Data'!P146,"")</f>
        <v>2035519.2421169</v>
      </c>
      <c s="72">
        <f>IF('[1]Leakage Tree Data'!Q146&lt;&gt;"",'[1]Leakage Tree Data'!Q146,"")</f>
      </c>
      <c s="72">
        <f>IF('[1]Leakage Tree Data'!R146&lt;&gt;"",'[1]Leakage Tree Data'!R146,"")</f>
        <v>1017625.85098267</v>
      </c>
      <c s="72">
        <f>IF('[1]Leakage Tree Data'!S146&lt;&gt;"",'[1]Leakage Tree Data'!S146,"")</f>
        <v>263107.1668396</v>
      </c>
      <c s="72">
        <f>IF('[1]Leakage Tree Data'!T146&lt;&gt;"",'[1]Leakage Tree Data'!T146,"")</f>
        <v>0.0493482568794406</v>
      </c>
      <c s="72">
        <f>IF('[1]Leakage Tree Data'!U146&lt;&gt;"",'[1]Leakage Tree Data'!U146,"")</f>
        <v>754518.684143066</v>
      </c>
      <c s="72">
        <f>IF('[1]Leakage Tree Data'!V146&lt;&gt;"",'[1]Leakage Tree Data'!V146,"")</f>
        <v>-0.0493482568794406</v>
      </c>
      <c s="72">
        <f>IF('[1]Leakage Tree Data'!W146&lt;&gt;"",'[1]Leakage Tree Data'!W146,"")</f>
        <v>-1855949.2237854</v>
      </c>
      <c s="72">
        <f>IF('[1]Leakage Tree Data'!X146&lt;&gt;"",'[1]Leakage Tree Data'!X146,"")</f>
      </c>
      <c s="72">
        <f>IF('[1]Leakage Tree Data'!Y146&lt;&gt;"",'[1]Leakage Tree Data'!Y146,"")</f>
      </c>
      <c s="72">
        <f>IF('[1]Leakage Tree Data'!Z146&lt;&gt;"",'[1]Leakage Tree Data'!Z146,"")</f>
      </c>
      <c s="72">
        <f>IF('[1]Leakage Tree Data'!AA146&lt;&gt;"",'[1]Leakage Tree Data'!AA146,"")</f>
      </c>
      <c s="72">
        <f>IF('[1]Leakage Tree Data'!AB146&lt;&gt;"",'[1]Leakage Tree Data'!AB146,"")</f>
      </c>
      <c s="72">
        <f>IF('[1]Leakage Tree Data'!AC146&lt;&gt;"",'[1]Leakage Tree Data'!AC146,"")</f>
      </c>
      <c s="72">
        <f>IF('[1]Leakage Tree Data'!AD146&lt;&gt;"",'[1]Leakage Tree Data'!AD146,"")</f>
      </c>
      <c s="72">
        <f>IF('[1]Leakage Tree Data'!AE146&lt;&gt;"",'[1]Leakage Tree Data'!AE146,"")</f>
      </c>
      <c s="73">
        <f t="shared" si="126"/>
      </c>
      <c s="73">
        <f t="shared" si="127"/>
      </c>
      <c s="73">
        <f t="shared" si="128"/>
      </c>
      <c s="73">
        <f t="shared" si="129"/>
      </c>
      <c s="74">
        <f t="shared" si="108"/>
      </c>
      <c s="74">
        <f t="shared" si="109"/>
      </c>
      <c s="69" t="str">
        <f t="shared" si="110"/>
        <v>Total US - Liquor</v>
      </c>
      <c s="69" t="str">
        <f t="shared" si="111"/>
        <v>Total US - Liquor</v>
      </c>
      <c s="77"/>
    </row>
    <row r="248" spans="1:141" s="92" customFormat="1" ht="15">
      <c r="A24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 t="shared" si="112"/>
      </c>
      <c s="76">
        <f t="shared" si="113"/>
      </c>
      <c s="75">
        <f t="shared" si="102"/>
      </c>
      <c s="76">
        <f t="shared" si="114"/>
      </c>
      <c s="75">
        <f t="shared" si="103"/>
      </c>
      <c s="76">
        <f t="shared" si="115"/>
      </c>
      <c s="75">
        <f t="shared" si="104"/>
      </c>
      <c s="76">
        <f t="shared" si="116"/>
      </c>
      <c s="75">
        <f t="shared" si="130"/>
      </c>
      <c s="76">
        <f t="shared" si="117"/>
      </c>
      <c s="75">
        <f t="shared" si="118"/>
      </c>
      <c s="76">
        <f t="shared" si="119"/>
      </c>
      <c s="75">
        <f t="shared" si="105"/>
      </c>
      <c s="76">
        <f t="shared" si="120"/>
      </c>
      <c s="75">
        <f t="shared" si="106"/>
      </c>
      <c s="76">
        <f t="shared" si="121"/>
      </c>
      <c s="75">
        <f t="shared" si="107"/>
      </c>
      <c s="76">
        <f t="shared" si="122"/>
      </c>
      <c s="75">
        <f t="shared" si="131"/>
      </c>
      <c s="76">
        <f t="shared" si="123"/>
      </c>
      <c s="65" t="str">
        <f t="shared" si="124"/>
        <v>ABC Liquor Stores</v>
      </c>
      <c s="65" t="str">
        <f t="shared" si="125"/>
        <v>Liquor</v>
      </c>
      <c s="72" t="str">
        <f>IF('[1]Leakage Tree Data'!A147&lt;&gt;"",'[1]Leakage Tree Data'!A147,"")</f>
        <v>Total US - ABC Liquor Stores</v>
      </c>
      <c s="72" t="str">
        <f>IF('[1]Leakage Tree Data'!B147&lt;&gt;"",'[1]Leakage Tree Data'!B147,"")</f>
        <v>Total US - Liquor</v>
      </c>
      <c s="72">
        <f>IF('[1]Leakage Tree Data'!C147&lt;&gt;"",'[1]Leakage Tree Data'!C147,"")</f>
        <v>121171760.292236</v>
      </c>
      <c s="72">
        <f>IF('[1]Leakage Tree Data'!D147&lt;&gt;"",'[1]Leakage Tree Data'!D147,"")</f>
        <v>3477309.80792236</v>
      </c>
      <c s="72">
        <f>IF('[1]Leakage Tree Data'!E147&lt;&gt;"",'[1]Leakage Tree Data'!E147,"")</f>
        <v>2.86973614936017</v>
      </c>
      <c s="72">
        <f>IF('[1]Leakage Tree Data'!F147&lt;&gt;"",'[1]Leakage Tree Data'!F147,"")</f>
        <v>117694450.484314</v>
      </c>
      <c s="72">
        <f>IF('[1]Leakage Tree Data'!G147&lt;&gt;"",'[1]Leakage Tree Data'!G147,"")</f>
        <v>97.1302638506398</v>
      </c>
      <c s="72">
        <f>IF('[1]Leakage Tree Data'!H147&lt;&gt;"",'[1]Leakage Tree Data'!H147,"")</f>
        <v>61518209.9918823</v>
      </c>
      <c s="72" t="str">
        <f>IF('[1]Leakage Tree Data'!I147&lt;&gt;"",'[1]Leakage Tree Data'!I147,"")</f>
        <v>Liquor</v>
      </c>
      <c s="72">
        <f>IF('[1]Leakage Tree Data'!J147&lt;&gt;"",'[1]Leakage Tree Data'!J147,"")</f>
      </c>
      <c s="72">
        <f>IF('[1]Leakage Tree Data'!K147&lt;&gt;"",'[1]Leakage Tree Data'!K147,"")</f>
      </c>
      <c s="72">
        <f>IF('[1]Leakage Tree Data'!L147&lt;&gt;"",'[1]Leakage Tree Data'!L147,"")</f>
      </c>
      <c s="72">
        <f>IF('[1]Leakage Tree Data'!M147&lt;&gt;"",'[1]Leakage Tree Data'!M147,"")</f>
      </c>
      <c s="72">
        <f>IF('[1]Leakage Tree Data'!N147&lt;&gt;"",'[1]Leakage Tree Data'!N147,"")</f>
      </c>
      <c s="72">
        <f>IF('[1]Leakage Tree Data'!O147&lt;&gt;"",'[1]Leakage Tree Data'!O147,"")</f>
      </c>
      <c s="72">
        <f>IF('[1]Leakage Tree Data'!P147&lt;&gt;"",'[1]Leakage Tree Data'!P147,"")</f>
      </c>
      <c s="72">
        <f>IF('[1]Leakage Tree Data'!Q147&lt;&gt;"",'[1]Leakage Tree Data'!Q147,"")</f>
      </c>
      <c s="72">
        <f>IF('[1]Leakage Tree Data'!R147&lt;&gt;"",'[1]Leakage Tree Data'!R147,"")</f>
        <v>1017625.85098267</v>
      </c>
      <c s="72">
        <f>IF('[1]Leakage Tree Data'!S147&lt;&gt;"",'[1]Leakage Tree Data'!S147,"")</f>
        <v>249326.309753418</v>
      </c>
      <c s="72">
        <f>IF('[1]Leakage Tree Data'!T147&lt;&gt;"",'[1]Leakage Tree Data'!T147,"")</f>
        <v>0.183200631310908</v>
      </c>
      <c s="72">
        <f>IF('[1]Leakage Tree Data'!U147&lt;&gt;"",'[1]Leakage Tree Data'!U147,"")</f>
        <v>768299.541229248</v>
      </c>
      <c s="72">
        <f>IF('[1]Leakage Tree Data'!V147&lt;&gt;"",'[1]Leakage Tree Data'!V147,"")</f>
        <v>-0.18320063131091</v>
      </c>
      <c s="72">
        <f>IF('[1]Leakage Tree Data'!W147&lt;&gt;"",'[1]Leakage Tree Data'!W147,"")</f>
        <v>-1855949.2237854</v>
      </c>
      <c s="72">
        <f>IF('[1]Leakage Tree Data'!X147&lt;&gt;"",'[1]Leakage Tree Data'!X147,"")</f>
      </c>
      <c s="72">
        <f>IF('[1]Leakage Tree Data'!Y147&lt;&gt;"",'[1]Leakage Tree Data'!Y147,"")</f>
      </c>
      <c s="72">
        <f>IF('[1]Leakage Tree Data'!Z147&lt;&gt;"",'[1]Leakage Tree Data'!Z147,"")</f>
      </c>
      <c s="72">
        <f>IF('[1]Leakage Tree Data'!AA147&lt;&gt;"",'[1]Leakage Tree Data'!AA147,"")</f>
      </c>
      <c s="72">
        <f>IF('[1]Leakage Tree Data'!AB147&lt;&gt;"",'[1]Leakage Tree Data'!AB147,"")</f>
      </c>
      <c s="72">
        <f>IF('[1]Leakage Tree Data'!AC147&lt;&gt;"",'[1]Leakage Tree Data'!AC147,"")</f>
      </c>
      <c s="72">
        <f>IF('[1]Leakage Tree Data'!AD147&lt;&gt;"",'[1]Leakage Tree Data'!AD147,"")</f>
      </c>
      <c s="72">
        <f>IF('[1]Leakage Tree Data'!AE147&lt;&gt;"",'[1]Leakage Tree Data'!AE147,"")</f>
      </c>
      <c s="73">
        <f t="shared" si="126"/>
      </c>
      <c s="73">
        <f t="shared" si="127"/>
      </c>
      <c s="73">
        <f t="shared" si="128"/>
      </c>
      <c s="73">
        <f t="shared" si="129"/>
      </c>
      <c s="74">
        <f t="shared" si="108"/>
      </c>
      <c s="74">
        <f t="shared" si="109"/>
      </c>
      <c s="69" t="str">
        <f t="shared" si="110"/>
        <v>Total US - ABC Liquor Stores</v>
      </c>
      <c s="69" t="str">
        <f t="shared" si="111"/>
        <v>Total US - Liquor</v>
      </c>
      <c s="77"/>
    </row>
    <row r="249" spans="1:141" s="92" customFormat="1" ht="15">
      <c r="A24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 t="shared" si="112"/>
      </c>
      <c s="76">
        <f t="shared" si="113"/>
      </c>
      <c s="75">
        <f t="shared" si="102"/>
      </c>
      <c s="76">
        <f t="shared" si="114"/>
      </c>
      <c s="75">
        <f t="shared" si="103"/>
      </c>
      <c s="76">
        <f t="shared" si="115"/>
      </c>
      <c s="75">
        <f t="shared" si="104"/>
      </c>
      <c s="76">
        <f t="shared" si="116"/>
      </c>
      <c s="75">
        <f t="shared" si="130"/>
      </c>
      <c s="76">
        <f t="shared" si="117"/>
      </c>
      <c s="75">
        <f t="shared" si="118"/>
      </c>
      <c s="76">
        <f t="shared" si="119"/>
      </c>
      <c s="75">
        <f t="shared" si="105"/>
      </c>
      <c s="76">
        <f t="shared" si="120"/>
      </c>
      <c s="75">
        <f t="shared" si="106"/>
      </c>
      <c s="76">
        <f t="shared" si="121"/>
      </c>
      <c s="75">
        <f t="shared" si="107"/>
      </c>
      <c s="76">
        <f t="shared" si="122"/>
      </c>
      <c s="75">
        <f t="shared" si="131"/>
      </c>
      <c s="76">
        <f t="shared" si="123"/>
      </c>
      <c s="65" t="str">
        <f t="shared" si="124"/>
        <v>Beverages &amp; More</v>
      </c>
      <c s="65" t="str">
        <f t="shared" si="125"/>
        <v>Liquor</v>
      </c>
      <c s="72" t="str">
        <f>IF('[1]Leakage Tree Data'!A148&lt;&gt;"",'[1]Leakage Tree Data'!A148,"")</f>
        <v>Total US - Beverages &amp; More</v>
      </c>
      <c s="72" t="str">
        <f>IF('[1]Leakage Tree Data'!B148&lt;&gt;"",'[1]Leakage Tree Data'!B148,"")</f>
        <v>Total US - Liquor</v>
      </c>
      <c s="72">
        <f>IF('[1]Leakage Tree Data'!C148&lt;&gt;"",'[1]Leakage Tree Data'!C148,"")</f>
        <v>121171760.292236</v>
      </c>
      <c s="72">
        <f>IF('[1]Leakage Tree Data'!D148&lt;&gt;"",'[1]Leakage Tree Data'!D148,"")</f>
        <v>1459379.71051025</v>
      </c>
      <c s="72">
        <f>IF('[1]Leakage Tree Data'!E148&lt;&gt;"",'[1]Leakage Tree Data'!E148,"")</f>
        <v>1.20438929581496</v>
      </c>
      <c s="72">
        <f>IF('[1]Leakage Tree Data'!F148&lt;&gt;"",'[1]Leakage Tree Data'!F148,"")</f>
        <v>119712380.581726</v>
      </c>
      <c s="72">
        <f>IF('[1]Leakage Tree Data'!G148&lt;&gt;"",'[1]Leakage Tree Data'!G148,"")</f>
        <v>98.795610704185</v>
      </c>
      <c s="72">
        <f>IF('[1]Leakage Tree Data'!H148&lt;&gt;"",'[1]Leakage Tree Data'!H148,"")</f>
        <v>61518209.9918823</v>
      </c>
      <c s="72" t="str">
        <f>IF('[1]Leakage Tree Data'!I148&lt;&gt;"",'[1]Leakage Tree Data'!I148,"")</f>
        <v>Liquor</v>
      </c>
      <c s="72">
        <f>IF('[1]Leakage Tree Data'!J148&lt;&gt;"",'[1]Leakage Tree Data'!J148,"")</f>
      </c>
      <c s="72">
        <f>IF('[1]Leakage Tree Data'!K148&lt;&gt;"",'[1]Leakage Tree Data'!K148,"")</f>
      </c>
      <c s="72">
        <f>IF('[1]Leakage Tree Data'!L148&lt;&gt;"",'[1]Leakage Tree Data'!L148,"")</f>
      </c>
      <c s="72">
        <f>IF('[1]Leakage Tree Data'!M148&lt;&gt;"",'[1]Leakage Tree Data'!M148,"")</f>
      </c>
      <c s="72">
        <f>IF('[1]Leakage Tree Data'!N148&lt;&gt;"",'[1]Leakage Tree Data'!N148,"")</f>
      </c>
      <c s="72">
        <f>IF('[1]Leakage Tree Data'!O148&lt;&gt;"",'[1]Leakage Tree Data'!O148,"")</f>
      </c>
      <c s="72">
        <f>IF('[1]Leakage Tree Data'!P148&lt;&gt;"",'[1]Leakage Tree Data'!P148,"")</f>
      </c>
      <c s="72">
        <f>IF('[1]Leakage Tree Data'!Q148&lt;&gt;"",'[1]Leakage Tree Data'!Q148,"")</f>
      </c>
      <c s="72">
        <f>IF('[1]Leakage Tree Data'!R148&lt;&gt;"",'[1]Leakage Tree Data'!R148,"")</f>
        <v>1017625.85098267</v>
      </c>
      <c s="72">
        <f>IF('[1]Leakage Tree Data'!S148&lt;&gt;"",'[1]Leakage Tree Data'!S148,"")</f>
        <v>-46000.1362304688</v>
      </c>
      <c s="72">
        <f>IF('[1]Leakage Tree Data'!T148&lt;&gt;"",'[1]Leakage Tree Data'!T148,"")</f>
        <v>-0.048484651254038</v>
      </c>
      <c s="72">
        <f>IF('[1]Leakage Tree Data'!U148&lt;&gt;"",'[1]Leakage Tree Data'!U148,"")</f>
        <v>1063625.98721313</v>
      </c>
      <c s="72">
        <f>IF('[1]Leakage Tree Data'!V148&lt;&gt;"",'[1]Leakage Tree Data'!V148,"")</f>
        <v>0.0484846512540287</v>
      </c>
      <c s="72">
        <f>IF('[1]Leakage Tree Data'!W148&lt;&gt;"",'[1]Leakage Tree Data'!W148,"")</f>
        <v>-1855949.2237854</v>
      </c>
      <c s="72">
        <f>IF('[1]Leakage Tree Data'!X148&lt;&gt;"",'[1]Leakage Tree Data'!X148,"")</f>
      </c>
      <c s="72">
        <f>IF('[1]Leakage Tree Data'!Y148&lt;&gt;"",'[1]Leakage Tree Data'!Y148,"")</f>
      </c>
      <c s="72">
        <f>IF('[1]Leakage Tree Data'!Z148&lt;&gt;"",'[1]Leakage Tree Data'!Z148,"")</f>
      </c>
      <c s="72">
        <f>IF('[1]Leakage Tree Data'!AA148&lt;&gt;"",'[1]Leakage Tree Data'!AA148,"")</f>
      </c>
      <c s="72">
        <f>IF('[1]Leakage Tree Data'!AB148&lt;&gt;"",'[1]Leakage Tree Data'!AB148,"")</f>
      </c>
      <c s="72">
        <f>IF('[1]Leakage Tree Data'!AC148&lt;&gt;"",'[1]Leakage Tree Data'!AC148,"")</f>
      </c>
      <c s="72">
        <f>IF('[1]Leakage Tree Data'!AD148&lt;&gt;"",'[1]Leakage Tree Data'!AD148,"")</f>
      </c>
      <c s="72">
        <f>IF('[1]Leakage Tree Data'!AE148&lt;&gt;"",'[1]Leakage Tree Data'!AE148,"")</f>
      </c>
      <c s="73">
        <f t="shared" si="126"/>
      </c>
      <c s="73">
        <f t="shared" si="127"/>
      </c>
      <c s="73">
        <f t="shared" si="128"/>
      </c>
      <c s="73">
        <f t="shared" si="129"/>
      </c>
      <c s="74">
        <f t="shared" si="108"/>
      </c>
      <c s="74">
        <f t="shared" si="109"/>
      </c>
      <c s="69" t="str">
        <f t="shared" si="110"/>
        <v>Total US - Beverages &amp; More</v>
      </c>
      <c s="69" t="str">
        <f t="shared" si="111"/>
        <v>Total US - Liquor</v>
      </c>
      <c s="77"/>
    </row>
    <row r="250" spans="1:141" s="92" customFormat="1" ht="15">
      <c r="A25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 t="shared" si="112"/>
      </c>
      <c s="76">
        <f t="shared" si="113"/>
      </c>
      <c s="75">
        <f t="shared" si="102"/>
      </c>
      <c s="76">
        <f t="shared" si="114"/>
      </c>
      <c s="75">
        <f t="shared" si="103"/>
      </c>
      <c s="76">
        <f t="shared" si="115"/>
      </c>
      <c s="75">
        <f t="shared" si="104"/>
      </c>
      <c s="76">
        <f t="shared" si="116"/>
      </c>
      <c s="75">
        <f t="shared" si="130"/>
      </c>
      <c s="76">
        <f t="shared" si="117"/>
      </c>
      <c s="75">
        <f t="shared" si="118"/>
      </c>
      <c s="76">
        <f t="shared" si="119"/>
      </c>
      <c s="75">
        <f t="shared" si="105"/>
      </c>
      <c s="76">
        <f t="shared" si="120"/>
      </c>
      <c s="75">
        <f t="shared" si="106"/>
      </c>
      <c s="76">
        <f t="shared" si="121"/>
      </c>
      <c s="75">
        <f t="shared" si="107"/>
      </c>
      <c s="76">
        <f t="shared" si="122"/>
      </c>
      <c s="75">
        <f t="shared" si="131"/>
      </c>
      <c s="76">
        <f t="shared" si="123"/>
      </c>
      <c s="65" t="str">
        <f t="shared" si="124"/>
        <v>Total Wine &amp; More</v>
      </c>
      <c s="65" t="str">
        <f t="shared" si="125"/>
        <v>Liquor</v>
      </c>
      <c s="72" t="str">
        <f>IF('[1]Leakage Tree Data'!A149&lt;&gt;"",'[1]Leakage Tree Data'!A149,"")</f>
        <v>Total US - Total Wine &amp; More</v>
      </c>
      <c s="72" t="str">
        <f>IF('[1]Leakage Tree Data'!B149&lt;&gt;"",'[1]Leakage Tree Data'!B149,"")</f>
        <v>Total US - Liquor</v>
      </c>
      <c s="72">
        <f>IF('[1]Leakage Tree Data'!C149&lt;&gt;"",'[1]Leakage Tree Data'!C149,"")</f>
        <v>121171760.292236</v>
      </c>
      <c s="72">
        <f>IF('[1]Leakage Tree Data'!D149&lt;&gt;"",'[1]Leakage Tree Data'!D149,"")</f>
        <v>2861088.72412109</v>
      </c>
      <c s="72">
        <f>IF('[1]Leakage Tree Data'!E149&lt;&gt;"",'[1]Leakage Tree Data'!E149,"")</f>
        <v>2.36118441889501</v>
      </c>
      <c s="72">
        <f>IF('[1]Leakage Tree Data'!F149&lt;&gt;"",'[1]Leakage Tree Data'!F149,"")</f>
        <v>118310671.568115</v>
      </c>
      <c s="72">
        <f>IF('[1]Leakage Tree Data'!G149&lt;&gt;"",'[1]Leakage Tree Data'!G149,"")</f>
        <v>97.638815581105</v>
      </c>
      <c s="72">
        <f>IF('[1]Leakage Tree Data'!H149&lt;&gt;"",'[1]Leakage Tree Data'!H149,"")</f>
        <v>61518209.9918823</v>
      </c>
      <c s="72" t="str">
        <f>IF('[1]Leakage Tree Data'!I149&lt;&gt;"",'[1]Leakage Tree Data'!I149,"")</f>
        <v>Liquor</v>
      </c>
      <c s="72">
        <f>IF('[1]Leakage Tree Data'!J149&lt;&gt;"",'[1]Leakage Tree Data'!J149,"")</f>
      </c>
      <c s="72">
        <f>IF('[1]Leakage Tree Data'!K149&lt;&gt;"",'[1]Leakage Tree Data'!K149,"")</f>
      </c>
      <c s="72">
        <f>IF('[1]Leakage Tree Data'!L149&lt;&gt;"",'[1]Leakage Tree Data'!L149,"")</f>
      </c>
      <c s="72">
        <f>IF('[1]Leakage Tree Data'!M149&lt;&gt;"",'[1]Leakage Tree Data'!M149,"")</f>
      </c>
      <c s="72">
        <f>IF('[1]Leakage Tree Data'!N149&lt;&gt;"",'[1]Leakage Tree Data'!N149,"")</f>
      </c>
      <c s="72">
        <f>IF('[1]Leakage Tree Data'!O149&lt;&gt;"",'[1]Leakage Tree Data'!O149,"")</f>
      </c>
      <c s="72">
        <f>IF('[1]Leakage Tree Data'!P149&lt;&gt;"",'[1]Leakage Tree Data'!P149,"")</f>
      </c>
      <c s="72">
        <f>IF('[1]Leakage Tree Data'!Q149&lt;&gt;"",'[1]Leakage Tree Data'!Q149,"")</f>
      </c>
      <c s="72">
        <f>IF('[1]Leakage Tree Data'!R149&lt;&gt;"",'[1]Leakage Tree Data'!R149,"")</f>
        <v>1017625.85098267</v>
      </c>
      <c s="72">
        <f>IF('[1]Leakage Tree Data'!S149&lt;&gt;"",'[1]Leakage Tree Data'!S149,"")</f>
        <v>414627.824859619</v>
      </c>
      <c s="72">
        <f>IF('[1]Leakage Tree Data'!T149&lt;&gt;"",'[1]Leakage Tree Data'!T149,"")</f>
        <v>0.325082281720853</v>
      </c>
      <c s="72">
        <f>IF('[1]Leakage Tree Data'!U149&lt;&gt;"",'[1]Leakage Tree Data'!U149,"")</f>
        <v>602998.026123047</v>
      </c>
      <c s="72">
        <f>IF('[1]Leakage Tree Data'!V149&lt;&gt;"",'[1]Leakage Tree Data'!V149,"")</f>
        <v>-0.325082281720853</v>
      </c>
      <c s="72">
        <f>IF('[1]Leakage Tree Data'!W149&lt;&gt;"",'[1]Leakage Tree Data'!W149,"")</f>
        <v>-1855949.2237854</v>
      </c>
      <c s="72">
        <f>IF('[1]Leakage Tree Data'!X149&lt;&gt;"",'[1]Leakage Tree Data'!X149,"")</f>
      </c>
      <c s="72">
        <f>IF('[1]Leakage Tree Data'!Y149&lt;&gt;"",'[1]Leakage Tree Data'!Y149,"")</f>
      </c>
      <c s="72">
        <f>IF('[1]Leakage Tree Data'!Z149&lt;&gt;"",'[1]Leakage Tree Data'!Z149,"")</f>
      </c>
      <c s="72">
        <f>IF('[1]Leakage Tree Data'!AA149&lt;&gt;"",'[1]Leakage Tree Data'!AA149,"")</f>
      </c>
      <c s="72">
        <f>IF('[1]Leakage Tree Data'!AB149&lt;&gt;"",'[1]Leakage Tree Data'!AB149,"")</f>
      </c>
      <c s="72">
        <f>IF('[1]Leakage Tree Data'!AC149&lt;&gt;"",'[1]Leakage Tree Data'!AC149,"")</f>
      </c>
      <c s="72">
        <f>IF('[1]Leakage Tree Data'!AD149&lt;&gt;"",'[1]Leakage Tree Data'!AD149,"")</f>
      </c>
      <c s="72">
        <f>IF('[1]Leakage Tree Data'!AE149&lt;&gt;"",'[1]Leakage Tree Data'!AE149,"")</f>
      </c>
      <c s="73">
        <f t="shared" si="126"/>
      </c>
      <c s="73">
        <f t="shared" si="127"/>
      </c>
      <c s="73">
        <f t="shared" si="128"/>
      </c>
      <c s="73">
        <f t="shared" si="129"/>
      </c>
      <c s="74">
        <f t="shared" si="108"/>
      </c>
      <c s="74">
        <f t="shared" si="109"/>
      </c>
      <c s="69" t="str">
        <f t="shared" si="110"/>
        <v>Total US - Total Wine &amp; More</v>
      </c>
      <c s="69" t="str">
        <f t="shared" si="111"/>
        <v>Total US - Liquor</v>
      </c>
      <c s="77"/>
    </row>
    <row r="251" spans="1:141" s="92" customFormat="1" ht="15">
      <c r="A25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 t="shared" si="112"/>
        <v>6760643.21617889</v>
      </c>
      <c s="76">
        <f t="shared" si="113"/>
        <v>4</v>
      </c>
      <c s="75">
        <f t="shared" si="102"/>
      </c>
      <c s="76">
        <f t="shared" si="114"/>
      </c>
      <c s="75">
        <f t="shared" si="103"/>
      </c>
      <c s="76">
        <f t="shared" si="115"/>
      </c>
      <c s="75">
        <f t="shared" si="104"/>
      </c>
      <c s="76">
        <f t="shared" si="116"/>
      </c>
      <c s="75">
        <f t="shared" si="130"/>
      </c>
      <c s="76">
        <f t="shared" si="117"/>
      </c>
      <c s="75">
        <f t="shared" si="118"/>
        <v>20995680.6019049</v>
      </c>
      <c s="76">
        <f t="shared" si="119"/>
        <v>4</v>
      </c>
      <c s="75">
        <f t="shared" si="105"/>
      </c>
      <c s="76">
        <f t="shared" si="120"/>
      </c>
      <c s="75">
        <f t="shared" si="106"/>
      </c>
      <c s="76">
        <f t="shared" si="121"/>
      </c>
      <c s="75">
        <f t="shared" si="107"/>
      </c>
      <c s="76">
        <f t="shared" si="122"/>
      </c>
      <c s="75">
        <f t="shared" si="131"/>
      </c>
      <c s="76">
        <f t="shared" si="123"/>
      </c>
      <c s="65" t="str">
        <f t="shared" si="124"/>
        <v>MassX and SupercenterX</v>
      </c>
      <c s="65" t="str">
        <f t="shared" si="125"/>
        <v>MassX and SupercenterX</v>
      </c>
      <c s="72" t="str">
        <f>IF('[1]Leakage Tree Data'!A150&lt;&gt;"",'[1]Leakage Tree Data'!A150,"")</f>
        <v>Total US - MassX and SupercenterX</v>
      </c>
      <c s="72" t="str">
        <f>IF('[1]Leakage Tree Data'!B150&lt;&gt;"",'[1]Leakage Tree Data'!B150,"")</f>
        <v>Total US - MassX and SupercenterX</v>
      </c>
      <c s="72">
        <f>IF('[1]Leakage Tree Data'!C150&lt;&gt;"",'[1]Leakage Tree Data'!C150,"")</f>
        <v>121171760.292236</v>
      </c>
      <c s="72">
        <f>IF('[1]Leakage Tree Data'!D150&lt;&gt;"",'[1]Leakage Tree Data'!D150,"")</f>
        <v>82031130.5726318</v>
      </c>
      <c s="72">
        <f>IF('[1]Leakage Tree Data'!E150&lt;&gt;"",'[1]Leakage Tree Data'!E150,"")</f>
        <v>67.6982247140695</v>
      </c>
      <c s="72">
        <f>IF('[1]Leakage Tree Data'!F150&lt;&gt;"",'[1]Leakage Tree Data'!F150,"")</f>
        <v>39140629.7196045</v>
      </c>
      <c s="72">
        <f>IF('[1]Leakage Tree Data'!G150&lt;&gt;"",'[1]Leakage Tree Data'!G150,"")</f>
        <v>32.3017752859305</v>
      </c>
      <c s="72">
        <f>IF('[1]Leakage Tree Data'!H150&lt;&gt;"",'[1]Leakage Tree Data'!H150,"")</f>
        <v>61518209.9918823</v>
      </c>
      <c s="72" t="str">
        <f>IF('[1]Leakage Tree Data'!I150&lt;&gt;"",'[1]Leakage Tree Data'!I150,"")</f>
        <v>MassX and SupercenterX</v>
      </c>
      <c s="72">
        <f>IF('[1]Leakage Tree Data'!J150&lt;&gt;"",'[1]Leakage Tree Data'!J150,"")</f>
        <v>70.3889745729236</v>
      </c>
      <c s="72">
        <f>IF('[1]Leakage Tree Data'!K150&lt;&gt;"",'[1]Leakage Tree Data'!K150,"")</f>
        <v>18216172.8029785</v>
      </c>
      <c s="72">
        <f>IF('[1]Leakage Tree Data'!L150&lt;&gt;"",'[1]Leakage Tree Data'!L150,"")</f>
        <v>251482010.831684</v>
      </c>
      <c s="72">
        <f>IF('[1]Leakage Tree Data'!M150&lt;&gt;"",'[1]Leakage Tree Data'!M150,"")</f>
        <v>20995680.6019049</v>
      </c>
      <c s="72">
        <f>IF('[1]Leakage Tree Data'!N150&lt;&gt;"",'[1]Leakage Tree Data'!N150,"")</f>
        <v>6760643.21617889</v>
      </c>
      <c s="72">
        <f>IF('[1]Leakage Tree Data'!O150&lt;&gt;"",'[1]Leakage Tree Data'!O150,"")</f>
        <v>26.5261620018567</v>
      </c>
      <c s="72">
        <f>IF('[1]Leakage Tree Data'!P150&lt;&gt;"",'[1]Leakage Tree Data'!P150,"")</f>
        <v>19448588.370524</v>
      </c>
      <c s="72">
        <f>IF('[1]Leakage Tree Data'!Q150&lt;&gt;"",'[1]Leakage Tree Data'!Q150,"")</f>
      </c>
      <c s="72">
        <f>IF('[1]Leakage Tree Data'!R150&lt;&gt;"",'[1]Leakage Tree Data'!R150,"")</f>
        <v>1017625.85098267</v>
      </c>
      <c s="72">
        <f>IF('[1]Leakage Tree Data'!S150&lt;&gt;"",'[1]Leakage Tree Data'!S150,"")</f>
        <v>-2490285.07290649</v>
      </c>
      <c s="72">
        <f>IF('[1]Leakage Tree Data'!T150&lt;&gt;"",'[1]Leakage Tree Data'!T150,"")</f>
        <v>-2.64593450990036</v>
      </c>
      <c s="72">
        <f>IF('[1]Leakage Tree Data'!U150&lt;&gt;"",'[1]Leakage Tree Data'!U150,"")</f>
        <v>3507910.92388916</v>
      </c>
      <c s="72">
        <f>IF('[1]Leakage Tree Data'!V150&lt;&gt;"",'[1]Leakage Tree Data'!V150,"")</f>
        <v>2.64593450990036</v>
      </c>
      <c s="72">
        <f>IF('[1]Leakage Tree Data'!W150&lt;&gt;"",'[1]Leakage Tree Data'!W150,"")</f>
        <v>-1855949.2237854</v>
      </c>
      <c s="72">
        <f>IF('[1]Leakage Tree Data'!X150&lt;&gt;"",'[1]Leakage Tree Data'!X150,"")</f>
      </c>
      <c s="72">
        <f>IF('[1]Leakage Tree Data'!Y150&lt;&gt;"",'[1]Leakage Tree Data'!Y150,"")</f>
        <v>1.99787421308633</v>
      </c>
      <c s="72">
        <f>IF('[1]Leakage Tree Data'!Z150&lt;&gt;"",'[1]Leakage Tree Data'!Z150,"")</f>
        <v>-1815701.58129883</v>
      </c>
      <c s="72">
        <f>IF('[1]Leakage Tree Data'!AA150&lt;&gt;"",'[1]Leakage Tree Data'!AA150,"")</f>
        <v>-46138208.7159758</v>
      </c>
      <c s="72">
        <f>IF('[1]Leakage Tree Data'!AB150&lt;&gt;"",'[1]Leakage Tree Data'!AB150,"")</f>
        <v>-1155991.51148796</v>
      </c>
      <c s="72">
        <f>IF('[1]Leakage Tree Data'!AC150&lt;&gt;"",'[1]Leakage Tree Data'!AC150,"")</f>
        <v>-1035146.96485233</v>
      </c>
      <c s="72">
        <f>IF('[1]Leakage Tree Data'!AD150&lt;&gt;"",'[1]Leakage Tree Data'!AD150,"")</f>
        <v>-1.80503059275171</v>
      </c>
      <c s="72">
        <f>IF('[1]Leakage Tree Data'!AE150&lt;&gt;"",'[1]Leakage Tree Data'!AE150,"")</f>
      </c>
      <c s="73">
        <f t="shared" si="126"/>
        <v>20995680.6019049</v>
      </c>
      <c s="73">
        <f t="shared" si="127"/>
        <v>6760643.21617889</v>
      </c>
      <c s="73">
        <f t="shared" si="128"/>
        <v>-1155991.51148796</v>
      </c>
      <c s="73">
        <f t="shared" si="129"/>
        <v>-1035146.96485233</v>
      </c>
      <c s="74">
        <f t="shared" si="108"/>
        <v>-7.39651370771852E-05</v>
      </c>
      <c s="74">
        <f t="shared" si="109"/>
        <v>0.000329839974398323</v>
      </c>
      <c s="69" t="str">
        <f t="shared" si="110"/>
        <v>Total US - MassX and SupercenterX</v>
      </c>
      <c s="69" t="str">
        <f t="shared" si="111"/>
        <v>Total US - MassX and SupercenterX</v>
      </c>
      <c s="77"/>
    </row>
    <row r="252" spans="1:141" s="92" customFormat="1" ht="15">
      <c r="A25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 t="shared" si="112"/>
      </c>
      <c s="76">
        <f t="shared" si="113"/>
      </c>
      <c s="75">
        <f t="shared" si="102"/>
      </c>
      <c s="76">
        <f t="shared" si="114"/>
      </c>
      <c s="75">
        <f t="shared" si="103"/>
      </c>
      <c s="76">
        <f t="shared" si="115"/>
      </c>
      <c s="75">
        <f t="shared" si="104"/>
      </c>
      <c s="76">
        <f t="shared" si="116"/>
      </c>
      <c s="75">
        <f t="shared" si="130"/>
      </c>
      <c s="76">
        <f t="shared" si="117"/>
      </c>
      <c s="75">
        <f t="shared" si="118"/>
      </c>
      <c s="76">
        <f t="shared" si="119"/>
      </c>
      <c s="75">
        <f t="shared" si="105"/>
      </c>
      <c s="76">
        <f t="shared" si="120"/>
      </c>
      <c s="75">
        <f t="shared" si="106"/>
      </c>
      <c s="76">
        <f t="shared" si="121"/>
      </c>
      <c s="75">
        <f t="shared" si="107"/>
      </c>
      <c s="76">
        <f t="shared" si="122"/>
      </c>
      <c s="75">
        <f t="shared" si="131"/>
      </c>
      <c s="76">
        <f t="shared" si="123"/>
      </c>
      <c s="65" t="str">
        <f t="shared" si="124"/>
        <v>BI Mart</v>
      </c>
      <c s="65" t="str">
        <f t="shared" si="125"/>
        <v>MassX and SupercenterX</v>
      </c>
      <c s="72" t="str">
        <f>IF('[1]Leakage Tree Data'!A151&lt;&gt;"",'[1]Leakage Tree Data'!A151,"")</f>
        <v>Total US - BI Mart</v>
      </c>
      <c s="72" t="str">
        <f>IF('[1]Leakage Tree Data'!B151&lt;&gt;"",'[1]Leakage Tree Data'!B151,"")</f>
        <v>Total US - MassX and SupercenterX</v>
      </c>
      <c s="72">
        <f>IF('[1]Leakage Tree Data'!C151&lt;&gt;"",'[1]Leakage Tree Data'!C151,"")</f>
        <v>121171760.292236</v>
      </c>
      <c s="72">
        <f>IF('[1]Leakage Tree Data'!D151&lt;&gt;"",'[1]Leakage Tree Data'!D151,"")</f>
        <v>1066229.06207275</v>
      </c>
      <c s="72">
        <f>IF('[1]Leakage Tree Data'!E151&lt;&gt;"",'[1]Leakage Tree Data'!E151,"")</f>
        <v>0.879931973837198</v>
      </c>
      <c s="72">
        <f>IF('[1]Leakage Tree Data'!F151&lt;&gt;"",'[1]Leakage Tree Data'!F151,"")</f>
        <v>120105531.230164</v>
      </c>
      <c s="72">
        <f>IF('[1]Leakage Tree Data'!G151&lt;&gt;"",'[1]Leakage Tree Data'!G151,"")</f>
        <v>99.1200680261628</v>
      </c>
      <c s="72">
        <f>IF('[1]Leakage Tree Data'!H151&lt;&gt;"",'[1]Leakage Tree Data'!H151,"")</f>
        <v>61518209.9918823</v>
      </c>
      <c s="72" t="str">
        <f>IF('[1]Leakage Tree Data'!I151&lt;&gt;"",'[1]Leakage Tree Data'!I151,"")</f>
        <v>MassX and SupercenterX</v>
      </c>
      <c s="72">
        <f>IF('[1]Leakage Tree Data'!J151&lt;&gt;"",'[1]Leakage Tree Data'!J151,"")</f>
      </c>
      <c s="72">
        <f>IF('[1]Leakage Tree Data'!K151&lt;&gt;"",'[1]Leakage Tree Data'!K151,"")</f>
      </c>
      <c s="72">
        <f>IF('[1]Leakage Tree Data'!L151&lt;&gt;"",'[1]Leakage Tree Data'!L151,"")</f>
      </c>
      <c s="72">
        <f>IF('[1]Leakage Tree Data'!M151&lt;&gt;"",'[1]Leakage Tree Data'!M151,"")</f>
      </c>
      <c s="72">
        <f>IF('[1]Leakage Tree Data'!N151&lt;&gt;"",'[1]Leakage Tree Data'!N151,"")</f>
      </c>
      <c s="72">
        <f>IF('[1]Leakage Tree Data'!O151&lt;&gt;"",'[1]Leakage Tree Data'!O151,"")</f>
        <v>20.0637398384031</v>
      </c>
      <c s="72">
        <f>IF('[1]Leakage Tree Data'!P151&lt;&gt;"",'[1]Leakage Tree Data'!P151,"")</f>
        <v>140863.300650543</v>
      </c>
      <c s="72">
        <f>IF('[1]Leakage Tree Data'!Q151&lt;&gt;"",'[1]Leakage Tree Data'!Q151,"")</f>
      </c>
      <c s="72">
        <f>IF('[1]Leakage Tree Data'!R151&lt;&gt;"",'[1]Leakage Tree Data'!R151,"")</f>
        <v>1017625.85098267</v>
      </c>
      <c s="72">
        <f>IF('[1]Leakage Tree Data'!S151&lt;&gt;"",'[1]Leakage Tree Data'!S151,"")</f>
        <v>37792.8460693359</v>
      </c>
      <c s="72">
        <f>IF('[1]Leakage Tree Data'!T151&lt;&gt;"",'[1]Leakage Tree Data'!T151,"")</f>
        <v>0.0240011972676697</v>
      </c>
      <c s="72">
        <f>IF('[1]Leakage Tree Data'!U151&lt;&gt;"",'[1]Leakage Tree Data'!U151,"")</f>
        <v>979833.00491333</v>
      </c>
      <c s="72">
        <f>IF('[1]Leakage Tree Data'!V151&lt;&gt;"",'[1]Leakage Tree Data'!V151,"")</f>
        <v>-0.0240011972676797</v>
      </c>
      <c s="72">
        <f>IF('[1]Leakage Tree Data'!W151&lt;&gt;"",'[1]Leakage Tree Data'!W151,"")</f>
        <v>-1855949.2237854</v>
      </c>
      <c s="72">
        <f>IF('[1]Leakage Tree Data'!X151&lt;&gt;"",'[1]Leakage Tree Data'!X151,"")</f>
      </c>
      <c s="72">
        <f>IF('[1]Leakage Tree Data'!Y151&lt;&gt;"",'[1]Leakage Tree Data'!Y151,"")</f>
      </c>
      <c s="72">
        <f>IF('[1]Leakage Tree Data'!Z151&lt;&gt;"",'[1]Leakage Tree Data'!Z151,"")</f>
      </c>
      <c s="72">
        <f>IF('[1]Leakage Tree Data'!AA151&lt;&gt;"",'[1]Leakage Tree Data'!AA151,"")</f>
      </c>
      <c s="72">
        <f>IF('[1]Leakage Tree Data'!AB151&lt;&gt;"",'[1]Leakage Tree Data'!AB151,"")</f>
      </c>
      <c s="72">
        <f>IF('[1]Leakage Tree Data'!AC151&lt;&gt;"",'[1]Leakage Tree Data'!AC151,"")</f>
      </c>
      <c s="72">
        <f>IF('[1]Leakage Tree Data'!AD151&lt;&gt;"",'[1]Leakage Tree Data'!AD151,"")</f>
        <v>2.67048360961346</v>
      </c>
      <c s="72">
        <f>IF('[1]Leakage Tree Data'!AE151&lt;&gt;"",'[1]Leakage Tree Data'!AE151,"")</f>
      </c>
      <c s="73">
        <f t="shared" si="126"/>
      </c>
      <c s="73">
        <f t="shared" si="127"/>
      </c>
      <c s="73">
        <f t="shared" si="128"/>
      </c>
      <c s="73">
        <f t="shared" si="129"/>
      </c>
      <c s="74">
        <f t="shared" si="108"/>
      </c>
      <c s="74">
        <f t="shared" si="109"/>
      </c>
      <c s="69" t="str">
        <f t="shared" si="110"/>
        <v>Total US - BI Mart</v>
      </c>
      <c s="69" t="str">
        <f t="shared" si="111"/>
        <v>Total US - MassX and SupercenterX</v>
      </c>
      <c s="77"/>
    </row>
    <row r="253" spans="1:141" s="92" customFormat="1" ht="15">
      <c r="A25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 t="shared" si="112"/>
      </c>
      <c s="76">
        <f t="shared" si="113"/>
      </c>
      <c s="75">
        <f t="shared" si="102"/>
      </c>
      <c s="76">
        <f t="shared" si="114"/>
      </c>
      <c s="75">
        <f t="shared" si="103"/>
      </c>
      <c s="76">
        <f t="shared" si="115"/>
      </c>
      <c s="75">
        <f t="shared" si="104"/>
      </c>
      <c s="76">
        <f t="shared" si="116"/>
      </c>
      <c s="75">
        <f t="shared" si="130"/>
        <v>5661746.00291061</v>
      </c>
      <c s="76">
        <f t="shared" si="117"/>
        <v>7</v>
      </c>
      <c s="75">
        <f t="shared" si="118"/>
      </c>
      <c s="76">
        <f t="shared" si="119"/>
      </c>
      <c s="75">
        <f t="shared" si="105"/>
      </c>
      <c s="76">
        <f t="shared" si="120"/>
      </c>
      <c s="75">
        <f t="shared" si="106"/>
      </c>
      <c s="76">
        <f t="shared" si="121"/>
      </c>
      <c s="75">
        <f t="shared" si="107"/>
      </c>
      <c s="76">
        <f t="shared" si="122"/>
      </c>
      <c s="75">
        <f t="shared" si="131"/>
        <v>15717899.767067</v>
      </c>
      <c s="76">
        <f t="shared" si="123"/>
        <v>7</v>
      </c>
      <c s="65" t="str">
        <f t="shared" si="124"/>
        <v>Kmart Corporate</v>
      </c>
      <c s="65" t="str">
        <f t="shared" si="125"/>
        <v>MassX and SupercenterX</v>
      </c>
      <c s="72" t="str">
        <f>IF('[1]Leakage Tree Data'!A152&lt;&gt;"",'[1]Leakage Tree Data'!A152,"")</f>
        <v>Total US - Kmart Corporate</v>
      </c>
      <c s="72" t="str">
        <f>IF('[1]Leakage Tree Data'!B152&lt;&gt;"",'[1]Leakage Tree Data'!B152,"")</f>
        <v>Total US - MassX and SupercenterX</v>
      </c>
      <c s="72">
        <f>IF('[1]Leakage Tree Data'!C152&lt;&gt;"",'[1]Leakage Tree Data'!C152,"")</f>
        <v>121171760.292236</v>
      </c>
      <c s="72">
        <f>IF('[1]Leakage Tree Data'!D152&lt;&gt;"",'[1]Leakage Tree Data'!D152,"")</f>
        <v>21829257.4463806</v>
      </c>
      <c s="72">
        <f>IF('[1]Leakage Tree Data'!E152&lt;&gt;"",'[1]Leakage Tree Data'!E152,"")</f>
        <v>18.0151360298256</v>
      </c>
      <c s="72">
        <f>IF('[1]Leakage Tree Data'!F152&lt;&gt;"",'[1]Leakage Tree Data'!F152,"")</f>
        <v>99342502.8458557</v>
      </c>
      <c s="72">
        <f>IF('[1]Leakage Tree Data'!G152&lt;&gt;"",'[1]Leakage Tree Data'!G152,"")</f>
        <v>81.9848639701744</v>
      </c>
      <c s="72">
        <f>IF('[1]Leakage Tree Data'!H152&lt;&gt;"",'[1]Leakage Tree Data'!H152,"")</f>
        <v>61518209.9918823</v>
      </c>
      <c s="72" t="str">
        <f>IF('[1]Leakage Tree Data'!I152&lt;&gt;"",'[1]Leakage Tree Data'!I152,"")</f>
        <v>MassX and SupercenterX</v>
      </c>
      <c s="72">
        <f>IF('[1]Leakage Tree Data'!J152&lt;&gt;"",'[1]Leakage Tree Data'!J152,"")</f>
        <v>97.3500170692515</v>
      </c>
      <c s="72">
        <f>IF('[1]Leakage Tree Data'!K152&lt;&gt;"",'[1]Leakage Tree Data'!K152,"")</f>
        <v>1630222.06408691</v>
      </c>
      <c s="72">
        <f>IF('[1]Leakage Tree Data'!L152&lt;&gt;"",'[1]Leakage Tree Data'!L152,"")</f>
        <v>5661746.00291061</v>
      </c>
      <c s="72">
        <f>IF('[1]Leakage Tree Data'!M152&lt;&gt;"",'[1]Leakage Tree Data'!M152,"")</f>
        <v>15717899.767067</v>
      </c>
      <c s="72">
        <f>IF('[1]Leakage Tree Data'!N152&lt;&gt;"",'[1]Leakage Tree Data'!N152,"")</f>
        <v>5661746.00291061</v>
      </c>
      <c s="72">
        <f>IF('[1]Leakage Tree Data'!O152&lt;&gt;"",'[1]Leakage Tree Data'!O152,"")</f>
        <v>12.6200997648544</v>
      </c>
      <c s="72">
        <f>IF('[1]Leakage Tree Data'!P152&lt;&gt;"",'[1]Leakage Tree Data'!P152,"")</f>
        <v>3510991.32283028</v>
      </c>
      <c s="72">
        <f>IF('[1]Leakage Tree Data'!Q152&lt;&gt;"",'[1]Leakage Tree Data'!Q152,"")</f>
      </c>
      <c s="72">
        <f>IF('[1]Leakage Tree Data'!R152&lt;&gt;"",'[1]Leakage Tree Data'!R152,"")</f>
        <v>1017625.85098267</v>
      </c>
      <c s="72">
        <f>IF('[1]Leakage Tree Data'!S152&lt;&gt;"",'[1]Leakage Tree Data'!S152,"")</f>
        <v>-3114063.35662842</v>
      </c>
      <c s="72">
        <f>IF('[1]Leakage Tree Data'!T152&lt;&gt;"",'[1]Leakage Tree Data'!T152,"")</f>
        <v>-2.74430010527003</v>
      </c>
      <c s="72">
        <f>IF('[1]Leakage Tree Data'!U152&lt;&gt;"",'[1]Leakage Tree Data'!U152,"")</f>
        <v>4131689.20761108</v>
      </c>
      <c s="72">
        <f>IF('[1]Leakage Tree Data'!V152&lt;&gt;"",'[1]Leakage Tree Data'!V152,"")</f>
        <v>2.74430010527001</v>
      </c>
      <c s="72">
        <f>IF('[1]Leakage Tree Data'!W152&lt;&gt;"",'[1]Leakage Tree Data'!W152,"")</f>
        <v>-1855949.2237854</v>
      </c>
      <c s="72">
        <f>IF('[1]Leakage Tree Data'!X152&lt;&gt;"",'[1]Leakage Tree Data'!X152,"")</f>
      </c>
      <c s="72">
        <f>IF('[1]Leakage Tree Data'!Y152&lt;&gt;"",'[1]Leakage Tree Data'!Y152,"")</f>
        <v>0.168237108369752</v>
      </c>
      <c s="72">
        <f>IF('[1]Leakage Tree Data'!Z152&lt;&gt;"",'[1]Leakage Tree Data'!Z152,"")</f>
        <v>-155801.190551758</v>
      </c>
      <c s="72">
        <f>IF('[1]Leakage Tree Data'!AA152&lt;&gt;"",'[1]Leakage Tree Data'!AA152,"")</f>
        <v>-325423.030396461</v>
      </c>
      <c s="72">
        <f>IF('[1]Leakage Tree Data'!AB152&lt;&gt;"",'[1]Leakage Tree Data'!AB152,"")</f>
        <v>-1051849.9287014</v>
      </c>
      <c s="72">
        <f>IF('[1]Leakage Tree Data'!AC152&lt;&gt;"",'[1]Leakage Tree Data'!AC152,"")</f>
        <v>-325423.030396461</v>
      </c>
      <c s="72">
        <f>IF('[1]Leakage Tree Data'!AD152&lt;&gt;"",'[1]Leakage Tree Data'!AD152,"")</f>
        <v>-0.405792470628366</v>
      </c>
      <c s="72">
        <f>IF('[1]Leakage Tree Data'!AE152&lt;&gt;"",'[1]Leakage Tree Data'!AE152,"")</f>
      </c>
      <c s="73">
        <f t="shared" si="126"/>
      </c>
      <c s="73">
        <f t="shared" si="127"/>
      </c>
      <c s="73">
        <f t="shared" si="128"/>
      </c>
      <c s="73">
        <f t="shared" si="129"/>
      </c>
      <c s="74">
        <f t="shared" si="108"/>
      </c>
      <c s="74">
        <f t="shared" si="109"/>
      </c>
      <c s="69" t="str">
        <f t="shared" si="110"/>
        <v>Total US - Kmart Corporate</v>
      </c>
      <c s="69" t="str">
        <f t="shared" si="111"/>
        <v>Total US - MassX and SupercenterX</v>
      </c>
      <c s="77"/>
    </row>
    <row r="254" spans="1:141" s="92" customFormat="1" ht="15">
      <c r="A25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 t="shared" si="112"/>
      </c>
      <c s="76">
        <f t="shared" si="113"/>
      </c>
      <c s="75">
        <f t="shared" si="102"/>
      </c>
      <c s="76">
        <f t="shared" si="114"/>
      </c>
      <c s="75">
        <f t="shared" si="103"/>
      </c>
      <c s="76">
        <f t="shared" si="115"/>
      </c>
      <c s="75">
        <f t="shared" si="104"/>
      </c>
      <c s="76">
        <f t="shared" si="116"/>
      </c>
      <c s="75">
        <f t="shared" si="130"/>
      </c>
      <c s="76">
        <f t="shared" si="117"/>
      </c>
      <c s="75">
        <f t="shared" si="118"/>
      </c>
      <c s="76">
        <f t="shared" si="119"/>
      </c>
      <c s="75">
        <f t="shared" si="105"/>
      </c>
      <c s="76">
        <f t="shared" si="120"/>
      </c>
      <c s="75">
        <f t="shared" si="106"/>
      </c>
      <c s="76">
        <f t="shared" si="121"/>
      </c>
      <c s="75">
        <f t="shared" si="107"/>
      </c>
      <c s="76">
        <f t="shared" si="122"/>
      </c>
      <c s="75">
        <f t="shared" si="131"/>
        <v>680554.556854248</v>
      </c>
      <c s="76">
        <f t="shared" si="123"/>
        <v>21</v>
      </c>
      <c s="65" t="str">
        <f t="shared" si="124"/>
        <v>Roses Discount</v>
      </c>
      <c s="65" t="str">
        <f t="shared" si="125"/>
        <v>MassX and SupercenterX</v>
      </c>
      <c s="72" t="str">
        <f>IF('[1]Leakage Tree Data'!A153&lt;&gt;"",'[1]Leakage Tree Data'!A153,"")</f>
        <v>Total US - Roses Discount</v>
      </c>
      <c s="72" t="str">
        <f>IF('[1]Leakage Tree Data'!B153&lt;&gt;"",'[1]Leakage Tree Data'!B153,"")</f>
        <v>Total US - MassX and SupercenterX</v>
      </c>
      <c s="72">
        <f>IF('[1]Leakage Tree Data'!C153&lt;&gt;"",'[1]Leakage Tree Data'!C153,"")</f>
        <v>121171760.292236</v>
      </c>
      <c s="72">
        <f>IF('[1]Leakage Tree Data'!D153&lt;&gt;"",'[1]Leakage Tree Data'!D153,"")</f>
        <v>2807958.19036865</v>
      </c>
      <c s="72">
        <f>IF('[1]Leakage Tree Data'!E153&lt;&gt;"",'[1]Leakage Tree Data'!E153,"")</f>
        <v>2.31733712838416</v>
      </c>
      <c s="72">
        <f>IF('[1]Leakage Tree Data'!F153&lt;&gt;"",'[1]Leakage Tree Data'!F153,"")</f>
        <v>118363802.101868</v>
      </c>
      <c s="72">
        <f>IF('[1]Leakage Tree Data'!G153&lt;&gt;"",'[1]Leakage Tree Data'!G153,"")</f>
        <v>97.6826628716158</v>
      </c>
      <c s="72">
        <f>IF('[1]Leakage Tree Data'!H153&lt;&gt;"",'[1]Leakage Tree Data'!H153,"")</f>
        <v>61518209.9918823</v>
      </c>
      <c s="72" t="str">
        <f>IF('[1]Leakage Tree Data'!I153&lt;&gt;"",'[1]Leakage Tree Data'!I153,"")</f>
        <v>MassX and SupercenterX</v>
      </c>
      <c s="72">
        <f>IF('[1]Leakage Tree Data'!J153&lt;&gt;"",'[1]Leakage Tree Data'!J153,"")</f>
        <v>99.8410145603132</v>
      </c>
      <c s="72">
        <f>IF('[1]Leakage Tree Data'!K153&lt;&gt;"",'[1]Leakage Tree Data'!K153,"")</f>
        <v>97804.9966430664</v>
      </c>
      <c s="72">
        <f>IF('[1]Leakage Tree Data'!L153&lt;&gt;"",'[1]Leakage Tree Data'!L153,"")</f>
      </c>
      <c s="72">
        <f>IF('[1]Leakage Tree Data'!M153&lt;&gt;"",'[1]Leakage Tree Data'!M153,"")</f>
        <v>680554.556854248</v>
      </c>
      <c s="72">
        <f>IF('[1]Leakage Tree Data'!N153&lt;&gt;"",'[1]Leakage Tree Data'!N153,"")</f>
      </c>
      <c s="72">
        <f>IF('[1]Leakage Tree Data'!O153&lt;&gt;"",'[1]Leakage Tree Data'!O153,"")</f>
        <v>8.62979593609758</v>
      </c>
      <c s="72">
        <f>IF('[1]Leakage Tree Data'!P153&lt;&gt;"",'[1]Leakage Tree Data'!P153,"")</f>
        <v>204376.176675136</v>
      </c>
      <c s="72">
        <f>IF('[1]Leakage Tree Data'!Q153&lt;&gt;"",'[1]Leakage Tree Data'!Q153,"")</f>
      </c>
      <c s="72">
        <f>IF('[1]Leakage Tree Data'!R153&lt;&gt;"",'[1]Leakage Tree Data'!R153,"")</f>
        <v>1017625.85098267</v>
      </c>
      <c s="72">
        <f>IF('[1]Leakage Tree Data'!S153&lt;&gt;"",'[1]Leakage Tree Data'!S153,"")</f>
        <v>-139082.549499512</v>
      </c>
      <c s="72">
        <f>IF('[1]Leakage Tree Data'!T153&lt;&gt;"",'[1]Leakage Tree Data'!T153,"")</f>
        <v>-0.135379753621295</v>
      </c>
      <c s="72">
        <f>IF('[1]Leakage Tree Data'!U153&lt;&gt;"",'[1]Leakage Tree Data'!U153,"")</f>
        <v>1156708.40048218</v>
      </c>
      <c s="72">
        <f>IF('[1]Leakage Tree Data'!V153&lt;&gt;"",'[1]Leakage Tree Data'!V153,"")</f>
        <v>0.135379753621294</v>
      </c>
      <c s="72">
        <f>IF('[1]Leakage Tree Data'!W153&lt;&gt;"",'[1]Leakage Tree Data'!W153,"")</f>
        <v>-1855949.2237854</v>
      </c>
      <c s="72">
        <f>IF('[1]Leakage Tree Data'!X153&lt;&gt;"",'[1]Leakage Tree Data'!X153,"")</f>
      </c>
      <c s="72">
        <f>IF('[1]Leakage Tree Data'!Y153&lt;&gt;"",'[1]Leakage Tree Data'!Y153,"")</f>
      </c>
      <c s="72">
        <f>IF('[1]Leakage Tree Data'!Z153&lt;&gt;"",'[1]Leakage Tree Data'!Z153,"")</f>
      </c>
      <c s="72">
        <f>IF('[1]Leakage Tree Data'!AA153&lt;&gt;"",'[1]Leakage Tree Data'!AA153,"")</f>
      </c>
      <c s="72">
        <f>IF('[1]Leakage Tree Data'!AB153&lt;&gt;"",'[1]Leakage Tree Data'!AB153,"")</f>
      </c>
      <c s="72">
        <f>IF('[1]Leakage Tree Data'!AC153&lt;&gt;"",'[1]Leakage Tree Data'!AC153,"")</f>
      </c>
      <c s="72">
        <f>IF('[1]Leakage Tree Data'!AD153&lt;&gt;"",'[1]Leakage Tree Data'!AD153,"")</f>
        <v>-0.266268325958075</v>
      </c>
      <c s="72">
        <f>IF('[1]Leakage Tree Data'!AE153&lt;&gt;"",'[1]Leakage Tree Data'!AE153,"")</f>
      </c>
      <c s="73">
        <f t="shared" si="126"/>
      </c>
      <c s="73">
        <f t="shared" si="127"/>
      </c>
      <c s="73">
        <f t="shared" si="128"/>
      </c>
      <c s="73">
        <f t="shared" si="129"/>
      </c>
      <c s="74">
        <f t="shared" si="108"/>
      </c>
      <c s="74">
        <f t="shared" si="109"/>
      </c>
      <c s="69" t="str">
        <f t="shared" si="110"/>
        <v>Total US - Roses Discount</v>
      </c>
      <c s="69" t="str">
        <f t="shared" si="111"/>
        <v>Total US - MassX and SupercenterX</v>
      </c>
      <c s="77"/>
    </row>
    <row r="255" spans="1:141" s="92" customFormat="1" ht="15">
      <c r="A25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 t="shared" si="112"/>
      </c>
      <c s="76">
        <f t="shared" si="113"/>
      </c>
      <c s="75">
        <f t="shared" si="102"/>
      </c>
      <c s="76">
        <f t="shared" si="114"/>
      </c>
      <c s="75">
        <f t="shared" si="103"/>
      </c>
      <c s="76">
        <f t="shared" si="115"/>
      </c>
      <c s="75">
        <f t="shared" si="104"/>
      </c>
      <c s="76">
        <f t="shared" si="116"/>
      </c>
      <c s="75">
        <f t="shared" si="130"/>
      </c>
      <c s="76">
        <f t="shared" si="117"/>
      </c>
      <c s="75">
        <f t="shared" si="118"/>
      </c>
      <c s="76">
        <f t="shared" si="119"/>
      </c>
      <c s="75">
        <f t="shared" si="105"/>
      </c>
      <c s="76">
        <f t="shared" si="120"/>
      </c>
      <c s="75">
        <f t="shared" si="106"/>
      </c>
      <c s="76">
        <f t="shared" si="121"/>
      </c>
      <c s="75">
        <f t="shared" si="107"/>
      </c>
      <c s="76">
        <f t="shared" si="122"/>
      </c>
      <c s="75">
        <f t="shared" si="131"/>
        <v>1334682.04094315</v>
      </c>
      <c s="76">
        <f t="shared" si="123"/>
        <v>19</v>
      </c>
      <c s="65" t="str">
        <f t="shared" si="124"/>
        <v>Shopko</v>
      </c>
      <c s="65" t="str">
        <f t="shared" si="125"/>
        <v>MassX and SupercenterX</v>
      </c>
      <c s="72" t="str">
        <f>IF('[1]Leakage Tree Data'!A154&lt;&gt;"",'[1]Leakage Tree Data'!A154,"")</f>
        <v>Total US - Shopko</v>
      </c>
      <c s="72" t="str">
        <f>IF('[1]Leakage Tree Data'!B154&lt;&gt;"",'[1]Leakage Tree Data'!B154,"")</f>
        <v>Total US - MassX and SupercenterX</v>
      </c>
      <c s="72">
        <f>IF('[1]Leakage Tree Data'!C154&lt;&gt;"",'[1]Leakage Tree Data'!C154,"")</f>
        <v>121171760.292236</v>
      </c>
      <c s="72">
        <f>IF('[1]Leakage Tree Data'!D154&lt;&gt;"",'[1]Leakage Tree Data'!D154,"")</f>
        <v>3730341.5111084</v>
      </c>
      <c s="72">
        <f>IF('[1]Leakage Tree Data'!E154&lt;&gt;"",'[1]Leakage Tree Data'!E154,"")</f>
        <v>3.0785568370978</v>
      </c>
      <c s="72">
        <f>IF('[1]Leakage Tree Data'!F154&lt;&gt;"",'[1]Leakage Tree Data'!F154,"")</f>
        <v>117441418.781128</v>
      </c>
      <c s="72">
        <f>IF('[1]Leakage Tree Data'!G154&lt;&gt;"",'[1]Leakage Tree Data'!G154,"")</f>
        <v>96.9214431629022</v>
      </c>
      <c s="72">
        <f>IF('[1]Leakage Tree Data'!H154&lt;&gt;"",'[1]Leakage Tree Data'!H154,"")</f>
        <v>61518209.9918823</v>
      </c>
      <c s="72" t="str">
        <f>IF('[1]Leakage Tree Data'!I154&lt;&gt;"",'[1]Leakage Tree Data'!I154,"")</f>
        <v>MassX and SupercenterX</v>
      </c>
      <c s="72">
        <f>IF('[1]Leakage Tree Data'!J154&lt;&gt;"",'[1]Leakage Tree Data'!J154,"")</f>
        <v>99.6939347976019</v>
      </c>
      <c s="72">
        <f>IF('[1]Leakage Tree Data'!K154&lt;&gt;"",'[1]Leakage Tree Data'!K154,"")</f>
        <v>188285.83392334</v>
      </c>
      <c s="72">
        <f>IF('[1]Leakage Tree Data'!L154&lt;&gt;"",'[1]Leakage Tree Data'!L154,"")</f>
      </c>
      <c s="72">
        <f>IF('[1]Leakage Tree Data'!M154&lt;&gt;"",'[1]Leakage Tree Data'!M154,"")</f>
        <v>1334682.04094315</v>
      </c>
      <c s="72">
        <f>IF('[1]Leakage Tree Data'!N154&lt;&gt;"",'[1]Leakage Tree Data'!N154,"")</f>
      </c>
      <c s="72">
        <f>IF('[1]Leakage Tree Data'!O154&lt;&gt;"",'[1]Leakage Tree Data'!O154,"")</f>
        <v>10.5337763680959</v>
      </c>
      <c s="72">
        <f>IF('[1]Leakage Tree Data'!P154&lt;&gt;"",'[1]Leakage Tree Data'!P154,"")</f>
        <v>538071.547782395</v>
      </c>
      <c s="72">
        <f>IF('[1]Leakage Tree Data'!Q154&lt;&gt;"",'[1]Leakage Tree Data'!Q154,"")</f>
      </c>
      <c s="72">
        <f>IF('[1]Leakage Tree Data'!R154&lt;&gt;"",'[1]Leakage Tree Data'!R154,"")</f>
        <v>1017625.85098267</v>
      </c>
      <c s="72">
        <f>IF('[1]Leakage Tree Data'!S154&lt;&gt;"",'[1]Leakage Tree Data'!S154,"")</f>
        <v>-243913.949951172</v>
      </c>
      <c s="72">
        <f>IF('[1]Leakage Tree Data'!T154&lt;&gt;"",'[1]Leakage Tree Data'!T154,"")</f>
        <v>-0.229074214917878</v>
      </c>
      <c s="72">
        <f>IF('[1]Leakage Tree Data'!U154&lt;&gt;"",'[1]Leakage Tree Data'!U154,"")</f>
        <v>1261539.80093384</v>
      </c>
      <c s="72">
        <f>IF('[1]Leakage Tree Data'!V154&lt;&gt;"",'[1]Leakage Tree Data'!V154,"")</f>
        <v>0.229074214917873</v>
      </c>
      <c s="72">
        <f>IF('[1]Leakage Tree Data'!W154&lt;&gt;"",'[1]Leakage Tree Data'!W154,"")</f>
        <v>-1855949.2237854</v>
      </c>
      <c s="72">
        <f>IF('[1]Leakage Tree Data'!X154&lt;&gt;"",'[1]Leakage Tree Data'!X154,"")</f>
      </c>
      <c s="72">
        <f>IF('[1]Leakage Tree Data'!Y154&lt;&gt;"",'[1]Leakage Tree Data'!Y154,"")</f>
        <v>-0.00710420965548053</v>
      </c>
      <c s="72">
        <f>IF('[1]Leakage Tree Data'!Z154&lt;&gt;"",'[1]Leakage Tree Data'!Z154,"")</f>
        <v>-1178.18161010742</v>
      </c>
      <c s="72">
        <f>IF('[1]Leakage Tree Data'!AA154&lt;&gt;"",'[1]Leakage Tree Data'!AA154,"")</f>
      </c>
      <c s="72">
        <f>IF('[1]Leakage Tree Data'!AB154&lt;&gt;"",'[1]Leakage Tree Data'!AB154,"")</f>
        <v>265695.411927223</v>
      </c>
      <c s="72">
        <f>IF('[1]Leakage Tree Data'!AC154&lt;&gt;"",'[1]Leakage Tree Data'!AC154,"")</f>
      </c>
      <c s="72">
        <f>IF('[1]Leakage Tree Data'!AD154&lt;&gt;"",'[1]Leakage Tree Data'!AD154,"")</f>
        <v>1.01158204211623</v>
      </c>
      <c s="72">
        <f>IF('[1]Leakage Tree Data'!AE154&lt;&gt;"",'[1]Leakage Tree Data'!AE154,"")</f>
      </c>
      <c s="73">
        <f t="shared" si="126"/>
      </c>
      <c s="73">
        <f t="shared" si="127"/>
      </c>
      <c s="73">
        <f t="shared" si="128"/>
      </c>
      <c s="73">
        <f t="shared" si="129"/>
      </c>
      <c s="74">
        <f t="shared" si="108"/>
      </c>
      <c s="74">
        <f t="shared" si="109"/>
      </c>
      <c s="69" t="str">
        <f t="shared" si="110"/>
        <v>Total US - Shopko</v>
      </c>
      <c s="69" t="str">
        <f t="shared" si="111"/>
        <v>Total US - MassX and SupercenterX</v>
      </c>
      <c s="77"/>
    </row>
    <row r="256" spans="1:141" s="92" customFormat="1" ht="15">
      <c r="A25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 t="shared" si="112"/>
        <v>3768044.61592293</v>
      </c>
      <c s="76">
        <f t="shared" si="113"/>
        <v>4</v>
      </c>
      <c s="75">
        <f t="shared" si="102"/>
      </c>
      <c s="76">
        <f t="shared" si="114"/>
      </c>
      <c s="75">
        <f t="shared" si="103"/>
      </c>
      <c s="76">
        <f t="shared" si="115"/>
      </c>
      <c s="75">
        <f t="shared" si="104"/>
      </c>
      <c s="76">
        <f t="shared" si="116"/>
      </c>
      <c s="75">
        <f t="shared" si="130"/>
      </c>
      <c s="76">
        <f t="shared" si="117"/>
      </c>
      <c s="75">
        <f t="shared" si="118"/>
        <v>25203447.742321</v>
      </c>
      <c s="76">
        <f t="shared" si="119"/>
        <v>4</v>
      </c>
      <c s="75">
        <f t="shared" si="105"/>
      </c>
      <c s="76">
        <f t="shared" si="120"/>
      </c>
      <c s="75">
        <f t="shared" si="106"/>
      </c>
      <c s="76">
        <f t="shared" si="121"/>
      </c>
      <c s="75">
        <f t="shared" si="107"/>
      </c>
      <c s="76">
        <f t="shared" si="122"/>
      </c>
      <c s="75">
        <f t="shared" si="131"/>
      </c>
      <c s="76">
        <f t="shared" si="123"/>
      </c>
      <c s="65" t="str">
        <f t="shared" si="124"/>
        <v>Military</v>
      </c>
      <c s="65" t="str">
        <f t="shared" si="125"/>
        <v>Military</v>
      </c>
      <c s="72" t="str">
        <f>IF('[1]Leakage Tree Data'!A155&lt;&gt;"",'[1]Leakage Tree Data'!A155,"")</f>
        <v>Total US - Military</v>
      </c>
      <c s="72" t="str">
        <f>IF('[1]Leakage Tree Data'!B155&lt;&gt;"",'[1]Leakage Tree Data'!B155,"")</f>
        <v>Total US - Military</v>
      </c>
      <c s="72">
        <f>IF('[1]Leakage Tree Data'!C155&lt;&gt;"",'[1]Leakage Tree Data'!C155,"")</f>
        <v>121171760.292236</v>
      </c>
      <c s="72">
        <f>IF('[1]Leakage Tree Data'!D155&lt;&gt;"",'[1]Leakage Tree Data'!D155,"")</f>
        <v>4401775.03637695</v>
      </c>
      <c s="72">
        <f>IF('[1]Leakage Tree Data'!E155&lt;&gt;"",'[1]Leakage Tree Data'!E155,"")</f>
        <v>3.63267400404266</v>
      </c>
      <c s="72">
        <f>IF('[1]Leakage Tree Data'!F155&lt;&gt;"",'[1]Leakage Tree Data'!F155,"")</f>
        <v>116769985.255859</v>
      </c>
      <c s="72">
        <f>IF('[1]Leakage Tree Data'!G155&lt;&gt;"",'[1]Leakage Tree Data'!G155,"")</f>
        <v>96.3673259959573</v>
      </c>
      <c s="72">
        <f>IF('[1]Leakage Tree Data'!H155&lt;&gt;"",'[1]Leakage Tree Data'!H155,"")</f>
        <v>61518209.9918823</v>
      </c>
      <c s="72" t="str">
        <f>IF('[1]Leakage Tree Data'!I155&lt;&gt;"",'[1]Leakage Tree Data'!I155,"")</f>
        <v>Military</v>
      </c>
      <c s="72">
        <f>IF('[1]Leakage Tree Data'!J155&lt;&gt;"",'[1]Leakage Tree Data'!J155,"")</f>
        <v>98.2430311885179</v>
      </c>
      <c s="72">
        <f>IF('[1]Leakage Tree Data'!K155&lt;&gt;"",'[1]Leakage Tree Data'!K155,"")</f>
        <v>1080855.76293945</v>
      </c>
      <c s="72">
        <f>IF('[1]Leakage Tree Data'!L155&lt;&gt;"",'[1]Leakage Tree Data'!L155,"")</f>
        <v>3768044.61592293</v>
      </c>
      <c s="72">
        <f>IF('[1]Leakage Tree Data'!M155&lt;&gt;"",'[1]Leakage Tree Data'!M155,"")</f>
        <v>25203447.742321</v>
      </c>
      <c s="72">
        <f>IF('[1]Leakage Tree Data'!N155&lt;&gt;"",'[1]Leakage Tree Data'!N155,"")</f>
        <v>3768044.61592293</v>
      </c>
      <c s="72">
        <f>IF('[1]Leakage Tree Data'!O155&lt;&gt;"",'[1]Leakage Tree Data'!O155,"")</f>
        <v>42.9967906752831</v>
      </c>
      <c s="72">
        <f>IF('[1]Leakage Tree Data'!P155&lt;&gt;"",'[1]Leakage Tree Data'!P155,"")</f>
        <v>1374392.89129248</v>
      </c>
      <c s="72">
        <f>IF('[1]Leakage Tree Data'!Q155&lt;&gt;"",'[1]Leakage Tree Data'!Q155,"")</f>
      </c>
      <c s="72">
        <f>IF('[1]Leakage Tree Data'!R155&lt;&gt;"",'[1]Leakage Tree Data'!R155,"")</f>
        <v>1017625.85098267</v>
      </c>
      <c s="72">
        <f>IF('[1]Leakage Tree Data'!S155&lt;&gt;"",'[1]Leakage Tree Data'!S155,"")</f>
        <v>-167155.785644531</v>
      </c>
      <c s="72">
        <f>IF('[1]Leakage Tree Data'!T155&lt;&gt;"",'[1]Leakage Tree Data'!T155,"")</f>
        <v>-0.169884137854113</v>
      </c>
      <c s="72">
        <f>IF('[1]Leakage Tree Data'!U155&lt;&gt;"",'[1]Leakage Tree Data'!U155,"")</f>
        <v>1184781.6366272</v>
      </c>
      <c s="72">
        <f>IF('[1]Leakage Tree Data'!V155&lt;&gt;"",'[1]Leakage Tree Data'!V155,"")</f>
        <v>0.169884137854112</v>
      </c>
      <c s="72">
        <f>IF('[1]Leakage Tree Data'!W155&lt;&gt;"",'[1]Leakage Tree Data'!W155,"")</f>
        <v>-1855949.2237854</v>
      </c>
      <c s="72">
        <f>IF('[1]Leakage Tree Data'!X155&lt;&gt;"",'[1]Leakage Tree Data'!X155,"")</f>
      </c>
      <c s="72">
        <f>IF('[1]Leakage Tree Data'!Y155&lt;&gt;"",'[1]Leakage Tree Data'!Y155,"")</f>
        <v>0.207192755998804</v>
      </c>
      <c s="72">
        <f>IF('[1]Leakage Tree Data'!Z155&lt;&gt;"",'[1]Leakage Tree Data'!Z155,"")</f>
        <v>-163915.116088867</v>
      </c>
      <c s="72">
        <f>IF('[1]Leakage Tree Data'!AA155&lt;&gt;"",'[1]Leakage Tree Data'!AA155,"")</f>
        <v>-747217.634382248</v>
      </c>
      <c s="72">
        <f>IF('[1]Leakage Tree Data'!AB155&lt;&gt;"",'[1]Leakage Tree Data'!AB155,"")</f>
        <v>-1451821.58564854</v>
      </c>
      <c s="72">
        <f>IF('[1]Leakage Tree Data'!AC155&lt;&gt;"",'[1]Leakage Tree Data'!AC155,"")</f>
        <v>-747217.634382248</v>
      </c>
      <c s="72">
        <f>IF('[1]Leakage Tree Data'!AD155&lt;&gt;"",'[1]Leakage Tree Data'!AD155,"")</f>
        <v>-4.92066059042629</v>
      </c>
      <c s="72">
        <f>IF('[1]Leakage Tree Data'!AE155&lt;&gt;"",'[1]Leakage Tree Data'!AE155,"")</f>
      </c>
      <c s="73">
        <f t="shared" si="126"/>
        <v>25203447.742321</v>
      </c>
      <c s="73">
        <f t="shared" si="127"/>
        <v>3768044.61592293</v>
      </c>
      <c s="73">
        <f t="shared" si="128"/>
        <v>-1451821.58564854</v>
      </c>
      <c s="73">
        <f t="shared" si="129"/>
        <v>-747217.634382248</v>
      </c>
      <c s="74">
        <f t="shared" si="108"/>
        <v>-0.00012268310650791</v>
      </c>
      <c s="74">
        <f t="shared" si="109"/>
        <v>1.94053394364686E-06</v>
      </c>
      <c s="69" t="str">
        <f t="shared" si="110"/>
        <v>Total US - Military</v>
      </c>
      <c s="69" t="str">
        <f t="shared" si="111"/>
        <v>Total US - Military</v>
      </c>
      <c s="77"/>
    </row>
    <row r="257" spans="1:141" s="92" customFormat="1" ht="15">
      <c r="A25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 t="shared" si="112"/>
      </c>
      <c s="76">
        <f t="shared" si="113"/>
      </c>
      <c s="75">
        <f t="shared" si="102"/>
      </c>
      <c s="76">
        <f t="shared" si="114"/>
      </c>
      <c s="75">
        <f t="shared" si="103"/>
      </c>
      <c s="76">
        <f t="shared" si="115"/>
      </c>
      <c s="75">
        <f t="shared" si="104"/>
      </c>
      <c s="76">
        <f t="shared" si="116"/>
      </c>
      <c s="75">
        <f t="shared" si="130"/>
        <v>3160446.36055183</v>
      </c>
      <c s="76">
        <f t="shared" si="117"/>
        <v>10</v>
      </c>
      <c s="75">
        <f t="shared" si="118"/>
      </c>
      <c s="76">
        <f t="shared" si="119"/>
      </c>
      <c s="75">
        <f t="shared" si="105"/>
      </c>
      <c s="76">
        <f t="shared" si="120"/>
      </c>
      <c s="75">
        <f t="shared" si="106"/>
      </c>
      <c s="76">
        <f t="shared" si="121"/>
      </c>
      <c s="75">
        <f t="shared" si="107"/>
      </c>
      <c s="76">
        <f t="shared" si="122"/>
      </c>
      <c s="75">
        <f t="shared" si="131"/>
        <v>22995505.5122375</v>
      </c>
      <c s="76">
        <f t="shared" si="123"/>
        <v>6</v>
      </c>
      <c s="65" t="str">
        <f t="shared" si="124"/>
        <v>DeCA Commissary</v>
      </c>
      <c s="65" t="str">
        <f t="shared" si="125"/>
        <v>Military</v>
      </c>
      <c s="72" t="str">
        <f>IF('[1]Leakage Tree Data'!A156&lt;&gt;"",'[1]Leakage Tree Data'!A156,"")</f>
        <v>Total US - DeCA Commissary</v>
      </c>
      <c s="72" t="str">
        <f>IF('[1]Leakage Tree Data'!B156&lt;&gt;"",'[1]Leakage Tree Data'!B156,"")</f>
        <v>Total US - Military</v>
      </c>
      <c s="72">
        <f>IF('[1]Leakage Tree Data'!C156&lt;&gt;"",'[1]Leakage Tree Data'!C156,"")</f>
        <v>121171760.292236</v>
      </c>
      <c s="72">
        <f>IF('[1]Leakage Tree Data'!D156&lt;&gt;"",'[1]Leakage Tree Data'!D156,"")</f>
        <v>3241989.70959473</v>
      </c>
      <c s="72">
        <f>IF('[1]Leakage Tree Data'!E156&lt;&gt;"",'[1]Leakage Tree Data'!E156,"")</f>
        <v>2.67553240274454</v>
      </c>
      <c s="72">
        <f>IF('[1]Leakage Tree Data'!F156&lt;&gt;"",'[1]Leakage Tree Data'!F156,"")</f>
        <v>117929770.582642</v>
      </c>
      <c s="72">
        <f>IF('[1]Leakage Tree Data'!G156&lt;&gt;"",'[1]Leakage Tree Data'!G156,"")</f>
        <v>97.3244675972555</v>
      </c>
      <c s="72">
        <f>IF('[1]Leakage Tree Data'!H156&lt;&gt;"",'[1]Leakage Tree Data'!H156,"")</f>
        <v>61518209.9918823</v>
      </c>
      <c s="72" t="str">
        <f>IF('[1]Leakage Tree Data'!I156&lt;&gt;"",'[1]Leakage Tree Data'!I156,"")</f>
        <v>Military</v>
      </c>
      <c s="72">
        <f>IF('[1]Leakage Tree Data'!J156&lt;&gt;"",'[1]Leakage Tree Data'!J156,"")</f>
        <v>98.4029293732189</v>
      </c>
      <c s="72">
        <f>IF('[1]Leakage Tree Data'!K156&lt;&gt;"",'[1]Leakage Tree Data'!K156,"")</f>
        <v>982489.261901855</v>
      </c>
      <c s="72">
        <f>IF('[1]Leakage Tree Data'!L156&lt;&gt;"",'[1]Leakage Tree Data'!L156,"")</f>
        <v>3160446.36055183</v>
      </c>
      <c s="72">
        <f>IF('[1]Leakage Tree Data'!M156&lt;&gt;"",'[1]Leakage Tree Data'!M156,"")</f>
        <v>22995505.5122375</v>
      </c>
      <c s="72">
        <f>IF('[1]Leakage Tree Data'!N156&lt;&gt;"",'[1]Leakage Tree Data'!N156,"")</f>
        <v>3160446.36055183</v>
      </c>
      <c s="72">
        <f>IF('[1]Leakage Tree Data'!O156&lt;&gt;"",'[1]Leakage Tree Data'!O156,"")</f>
        <v>52.6143570049866</v>
      </c>
      <c s="72">
        <f>IF('[1]Leakage Tree Data'!P156&lt;&gt;"",'[1]Leakage Tree Data'!P156,"")</f>
        <v>988645.675027707</v>
      </c>
      <c s="72">
        <f>IF('[1]Leakage Tree Data'!Q156&lt;&gt;"",'[1]Leakage Tree Data'!Q156,"")</f>
      </c>
      <c s="72">
        <f>IF('[1]Leakage Tree Data'!R156&lt;&gt;"",'[1]Leakage Tree Data'!R156,"")</f>
        <v>1017625.85098267</v>
      </c>
      <c s="72">
        <f>IF('[1]Leakage Tree Data'!S156&lt;&gt;"",'[1]Leakage Tree Data'!S156,"")</f>
        <v>-192988.888427734</v>
      </c>
      <c s="72">
        <f>IF('[1]Leakage Tree Data'!T156&lt;&gt;"",'[1]Leakage Tree Data'!T156,"")</f>
        <v>-0.183277753057386</v>
      </c>
      <c s="72">
        <f>IF('[1]Leakage Tree Data'!U156&lt;&gt;"",'[1]Leakage Tree Data'!U156,"")</f>
        <v>1210614.7394104</v>
      </c>
      <c s="72">
        <f>IF('[1]Leakage Tree Data'!V156&lt;&gt;"",'[1]Leakage Tree Data'!V156,"")</f>
        <v>0.183277753057396</v>
      </c>
      <c s="72">
        <f>IF('[1]Leakage Tree Data'!W156&lt;&gt;"",'[1]Leakage Tree Data'!W156,"")</f>
        <v>-1855949.2237854</v>
      </c>
      <c s="72">
        <f>IF('[1]Leakage Tree Data'!X156&lt;&gt;"",'[1]Leakage Tree Data'!X156,"")</f>
      </c>
      <c s="72">
        <f>IF('[1]Leakage Tree Data'!Y156&lt;&gt;"",'[1]Leakage Tree Data'!Y156,"")</f>
        <v>0.145742447758892</v>
      </c>
      <c s="72">
        <f>IF('[1]Leakage Tree Data'!Z156&lt;&gt;"",'[1]Leakage Tree Data'!Z156,"")</f>
        <v>-122003.870788574</v>
      </c>
      <c s="72">
        <f>IF('[1]Leakage Tree Data'!AA156&lt;&gt;"",'[1]Leakage Tree Data'!AA156,"")</f>
        <v>-198922.560651779</v>
      </c>
      <c s="72">
        <f>IF('[1]Leakage Tree Data'!AB156&lt;&gt;"",'[1]Leakage Tree Data'!AB156,"")</f>
        <v>-1159176.88612366</v>
      </c>
      <c s="72">
        <f>IF('[1]Leakage Tree Data'!AC156&lt;&gt;"",'[1]Leakage Tree Data'!AC156,"")</f>
        <v>-198922.560651779</v>
      </c>
      <c s="72">
        <f>IF('[1]Leakage Tree Data'!AD156&lt;&gt;"",'[1]Leakage Tree Data'!AD156,"")</f>
        <v>-3.38754295034757</v>
      </c>
      <c s="72">
        <f>IF('[1]Leakage Tree Data'!AE156&lt;&gt;"",'[1]Leakage Tree Data'!AE156,"")</f>
      </c>
      <c s="73">
        <f t="shared" si="126"/>
      </c>
      <c s="73">
        <f t="shared" si="127"/>
      </c>
      <c s="73">
        <f t="shared" si="128"/>
      </c>
      <c s="73">
        <f t="shared" si="129"/>
      </c>
      <c s="74">
        <f t="shared" si="108"/>
      </c>
      <c s="74">
        <f t="shared" si="109"/>
      </c>
      <c s="69" t="str">
        <f t="shared" si="110"/>
        <v>Total US - DeCA Commissary</v>
      </c>
      <c s="69" t="str">
        <f t="shared" si="111"/>
        <v>Total US - Military</v>
      </c>
      <c s="77"/>
    </row>
    <row r="258" spans="1:141" s="92" customFormat="1" ht="15">
      <c r="A25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 t="shared" si="112"/>
      </c>
      <c s="76">
        <f t="shared" si="113"/>
      </c>
      <c s="75">
        <f t="shared" si="102"/>
      </c>
      <c s="76">
        <f t="shared" si="114"/>
      </c>
      <c s="75">
        <f t="shared" si="103"/>
      </c>
      <c s="76">
        <f t="shared" si="115"/>
      </c>
      <c s="75">
        <f t="shared" si="104"/>
      </c>
      <c s="76">
        <f t="shared" si="116"/>
      </c>
      <c s="75">
        <f t="shared" si="130"/>
      </c>
      <c s="76">
        <f t="shared" si="117"/>
      </c>
      <c s="75">
        <f t="shared" si="118"/>
        <v>656630.931091309</v>
      </c>
      <c s="76">
        <f t="shared" si="119"/>
        <v>4</v>
      </c>
      <c s="75">
        <f t="shared" si="105"/>
      </c>
      <c s="76">
        <f t="shared" si="120"/>
      </c>
      <c s="75">
        <f t="shared" si="106"/>
      </c>
      <c s="76">
        <f t="shared" si="121"/>
      </c>
      <c s="75">
        <f t="shared" si="107"/>
      </c>
      <c s="76">
        <f t="shared" si="122"/>
      </c>
      <c s="75">
        <f t="shared" si="131"/>
      </c>
      <c s="76">
        <f t="shared" si="123"/>
      </c>
      <c s="65" t="str">
        <f t="shared" si="124"/>
        <v>Pet</v>
      </c>
      <c s="65" t="str">
        <f t="shared" si="125"/>
        <v>Pet</v>
      </c>
      <c s="72" t="str">
        <f>IF('[1]Leakage Tree Data'!A157&lt;&gt;"",'[1]Leakage Tree Data'!A157,"")</f>
        <v>Total US - Pet</v>
      </c>
      <c s="72" t="str">
        <f>IF('[1]Leakage Tree Data'!B157&lt;&gt;"",'[1]Leakage Tree Data'!B157,"")</f>
        <v>Total US - Pet</v>
      </c>
      <c s="72">
        <f>IF('[1]Leakage Tree Data'!C157&lt;&gt;"",'[1]Leakage Tree Data'!C157,"")</f>
        <v>121171760.292236</v>
      </c>
      <c s="72">
        <f>IF('[1]Leakage Tree Data'!D157&lt;&gt;"",'[1]Leakage Tree Data'!D157,"")</f>
        <v>43753123.5364075</v>
      </c>
      <c s="72">
        <f>IF('[1]Leakage Tree Data'!E157&lt;&gt;"",'[1]Leakage Tree Data'!E157,"")</f>
        <v>36.1083501889267</v>
      </c>
      <c s="72">
        <f>IF('[1]Leakage Tree Data'!F157&lt;&gt;"",'[1]Leakage Tree Data'!F157,"")</f>
        <v>77418636.7558289</v>
      </c>
      <c s="72">
        <f>IF('[1]Leakage Tree Data'!G157&lt;&gt;"",'[1]Leakage Tree Data'!G157,"")</f>
        <v>63.8916498110733</v>
      </c>
      <c s="72">
        <f>IF('[1]Leakage Tree Data'!H157&lt;&gt;"",'[1]Leakage Tree Data'!H157,"")</f>
        <v>61518209.9918823</v>
      </c>
      <c s="72" t="str">
        <f>IF('[1]Leakage Tree Data'!I157&lt;&gt;"",'[1]Leakage Tree Data'!I157,"")</f>
        <v>Pet</v>
      </c>
      <c s="72">
        <f>IF('[1]Leakage Tree Data'!J157&lt;&gt;"",'[1]Leakage Tree Data'!J157,"")</f>
        <v>99.8105481731409</v>
      </c>
      <c s="72">
        <f>IF('[1]Leakage Tree Data'!K157&lt;&gt;"",'[1]Leakage Tree Data'!K157,"")</f>
        <v>116547.372680664</v>
      </c>
      <c s="72">
        <f>IF('[1]Leakage Tree Data'!L157&lt;&gt;"",'[1]Leakage Tree Data'!L157,"")</f>
      </c>
      <c s="72">
        <f>IF('[1]Leakage Tree Data'!M157&lt;&gt;"",'[1]Leakage Tree Data'!M157,"")</f>
        <v>656630.931091309</v>
      </c>
      <c s="72">
        <f>IF('[1]Leakage Tree Data'!N157&lt;&gt;"",'[1]Leakage Tree Data'!N157,"")</f>
      </c>
      <c s="72">
        <f>IF('[1]Leakage Tree Data'!O157&lt;&gt;"",'[1]Leakage Tree Data'!O157,"")</f>
        <v>0.554462341665702</v>
      </c>
      <c s="72">
        <f>IF('[1]Leakage Tree Data'!P157&lt;&gt;"",'[1]Leakage Tree Data'!P157,"")</f>
        <v>3912396.11957683</v>
      </c>
      <c s="72">
        <f>IF('[1]Leakage Tree Data'!Q157&lt;&gt;"",'[1]Leakage Tree Data'!Q157,"")</f>
      </c>
      <c s="72">
        <f>IF('[1]Leakage Tree Data'!R157&lt;&gt;"",'[1]Leakage Tree Data'!R157,"")</f>
        <v>1017625.85098267</v>
      </c>
      <c s="72">
        <f>IF('[1]Leakage Tree Data'!S157&lt;&gt;"",'[1]Leakage Tree Data'!S157,"")</f>
        <v>-1170194.5763855</v>
      </c>
      <c s="72">
        <f>IF('[1]Leakage Tree Data'!T157&lt;&gt;"",'[1]Leakage Tree Data'!T157,"")</f>
        <v>-1.27972498775991</v>
      </c>
      <c s="72">
        <f>IF('[1]Leakage Tree Data'!U157&lt;&gt;"",'[1]Leakage Tree Data'!U157,"")</f>
        <v>2187820.42736816</v>
      </c>
      <c s="72">
        <f>IF('[1]Leakage Tree Data'!V157&lt;&gt;"",'[1]Leakage Tree Data'!V157,"")</f>
        <v>1.27972498775991</v>
      </c>
      <c s="72">
        <f>IF('[1]Leakage Tree Data'!W157&lt;&gt;"",'[1]Leakage Tree Data'!W157,"")</f>
        <v>-1855949.2237854</v>
      </c>
      <c s="72">
        <f>IF('[1]Leakage Tree Data'!X157&lt;&gt;"",'[1]Leakage Tree Data'!X157,"")</f>
      </c>
      <c s="72">
        <f>IF('[1]Leakage Tree Data'!Y157&lt;&gt;"",'[1]Leakage Tree Data'!Y157,"")</f>
        <v>0.0238162996008811</v>
      </c>
      <c s="72">
        <f>IF('[1]Leakage Tree Data'!Z157&lt;&gt;"",'[1]Leakage Tree Data'!Z157,"")</f>
        <v>-18609.5093383789</v>
      </c>
      <c s="72">
        <f>IF('[1]Leakage Tree Data'!AA157&lt;&gt;"",'[1]Leakage Tree Data'!AA157,"")</f>
      </c>
      <c s="72">
        <f>IF('[1]Leakage Tree Data'!AB157&lt;&gt;"",'[1]Leakage Tree Data'!AB157,"")</f>
        <v>-482147.950637817</v>
      </c>
      <c s="72">
        <f>IF('[1]Leakage Tree Data'!AC157&lt;&gt;"",'[1]Leakage Tree Data'!AC157,"")</f>
      </c>
      <c s="72">
        <f>IF('[1]Leakage Tree Data'!AD157&lt;&gt;"",'[1]Leakage Tree Data'!AD157,"")</f>
        <v>-0.0394399245567916</v>
      </c>
      <c s="72">
        <f>IF('[1]Leakage Tree Data'!AE157&lt;&gt;"",'[1]Leakage Tree Data'!AE157,"")</f>
      </c>
      <c s="73">
        <f t="shared" si="126"/>
        <v>656630.931091309</v>
      </c>
      <c s="73">
        <f t="shared" si="127"/>
      </c>
      <c s="73">
        <f t="shared" si="128"/>
        <v>-482147.950637817</v>
      </c>
      <c s="73">
        <f t="shared" si="129"/>
      </c>
      <c s="74">
        <f t="shared" si="108"/>
        <v>-0.000237936631946165</v>
      </c>
      <c s="74">
        <f t="shared" si="109"/>
      </c>
      <c s="69" t="str">
        <f t="shared" si="110"/>
        <v>Total US - Pet</v>
      </c>
      <c s="69" t="str">
        <f t="shared" si="111"/>
        <v>Total US - Pet</v>
      </c>
      <c s="77"/>
    </row>
    <row r="259" spans="1:141" s="92" customFormat="1" ht="15">
      <c r="A25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 t="shared" si="112"/>
      </c>
      <c s="76">
        <f t="shared" si="113"/>
      </c>
      <c s="75">
        <f t="shared" si="102"/>
      </c>
      <c s="76">
        <f t="shared" si="114"/>
      </c>
      <c s="75">
        <f t="shared" si="103"/>
      </c>
      <c s="76">
        <f t="shared" si="115"/>
      </c>
      <c s="75">
        <f t="shared" si="104"/>
      </c>
      <c s="76">
        <f t="shared" si="116"/>
      </c>
      <c s="75">
        <f t="shared" si="130"/>
      </c>
      <c s="76">
        <f t="shared" si="117"/>
      </c>
      <c s="75">
        <f t="shared" si="118"/>
      </c>
      <c s="76">
        <f t="shared" si="119"/>
      </c>
      <c s="75">
        <f t="shared" si="105"/>
      </c>
      <c s="76">
        <f t="shared" si="120"/>
      </c>
      <c s="75">
        <f t="shared" si="106"/>
      </c>
      <c s="76">
        <f t="shared" si="121"/>
      </c>
      <c s="75">
        <f t="shared" si="107"/>
      </c>
      <c s="76">
        <f t="shared" si="122"/>
      </c>
      <c s="75">
        <f t="shared" si="131"/>
      </c>
      <c s="76">
        <f t="shared" si="123"/>
      </c>
      <c s="65" t="str">
        <f t="shared" si="124"/>
        <v>Pet Supermarket</v>
      </c>
      <c s="65" t="str">
        <f t="shared" si="125"/>
        <v>Pet</v>
      </c>
      <c s="72" t="str">
        <f>IF('[1]Leakage Tree Data'!A158&lt;&gt;"",'[1]Leakage Tree Data'!A158,"")</f>
        <v>Total US - Pet Supermarket</v>
      </c>
      <c s="72" t="str">
        <f>IF('[1]Leakage Tree Data'!B158&lt;&gt;"",'[1]Leakage Tree Data'!B158,"")</f>
        <v>Total US - Pet</v>
      </c>
      <c s="72">
        <f>IF('[1]Leakage Tree Data'!C158&lt;&gt;"",'[1]Leakage Tree Data'!C158,"")</f>
        <v>121171760.292236</v>
      </c>
      <c s="72">
        <f>IF('[1]Leakage Tree Data'!D158&lt;&gt;"",'[1]Leakage Tree Data'!D158,"")</f>
        <v>1458707.23352051</v>
      </c>
      <c s="72">
        <f>IF('[1]Leakage Tree Data'!E158&lt;&gt;"",'[1]Leakage Tree Data'!E158,"")</f>
        <v>1.20383431750308</v>
      </c>
      <c s="72">
        <f>IF('[1]Leakage Tree Data'!F158&lt;&gt;"",'[1]Leakage Tree Data'!F158,"")</f>
        <v>119713053.058716</v>
      </c>
      <c s="72">
        <f>IF('[1]Leakage Tree Data'!G158&lt;&gt;"",'[1]Leakage Tree Data'!G158,"")</f>
        <v>98.7961656824969</v>
      </c>
      <c s="72">
        <f>IF('[1]Leakage Tree Data'!H158&lt;&gt;"",'[1]Leakage Tree Data'!H158,"")</f>
        <v>61518209.9918823</v>
      </c>
      <c s="72" t="str">
        <f>IF('[1]Leakage Tree Data'!I158&lt;&gt;"",'[1]Leakage Tree Data'!I158,"")</f>
        <v>Pet</v>
      </c>
      <c s="72">
        <f>IF('[1]Leakage Tree Data'!J158&lt;&gt;"",'[1]Leakage Tree Data'!J158,"")</f>
      </c>
      <c s="72">
        <f>IF('[1]Leakage Tree Data'!K158&lt;&gt;"",'[1]Leakage Tree Data'!K158,"")</f>
      </c>
      <c s="72">
        <f>IF('[1]Leakage Tree Data'!L158&lt;&gt;"",'[1]Leakage Tree Data'!L158,"")</f>
      </c>
      <c s="72">
        <f>IF('[1]Leakage Tree Data'!M158&lt;&gt;"",'[1]Leakage Tree Data'!M158,"")</f>
      </c>
      <c s="72">
        <f>IF('[1]Leakage Tree Data'!N158&lt;&gt;"",'[1]Leakage Tree Data'!N158,"")</f>
      </c>
      <c s="72">
        <f>IF('[1]Leakage Tree Data'!O158&lt;&gt;"",'[1]Leakage Tree Data'!O158,"")</f>
      </c>
      <c s="72">
        <f>IF('[1]Leakage Tree Data'!P158&lt;&gt;"",'[1]Leakage Tree Data'!P158,"")</f>
      </c>
      <c s="72">
        <f>IF('[1]Leakage Tree Data'!Q158&lt;&gt;"",'[1]Leakage Tree Data'!Q158,"")</f>
      </c>
      <c s="72">
        <f>IF('[1]Leakage Tree Data'!R158&lt;&gt;"",'[1]Leakage Tree Data'!R158,"")</f>
        <v>1017625.85098267</v>
      </c>
      <c s="72">
        <f>IF('[1]Leakage Tree Data'!S158&lt;&gt;"",'[1]Leakage Tree Data'!S158,"")</f>
        <v>61548.1950683594</v>
      </c>
      <c s="72">
        <f>IF('[1]Leakage Tree Data'!T158&lt;&gt;"",'[1]Leakage Tree Data'!T158,"")</f>
        <v>0.0410286887585629</v>
      </c>
      <c s="72">
        <f>IF('[1]Leakage Tree Data'!U158&lt;&gt;"",'[1]Leakage Tree Data'!U158,"")</f>
        <v>956077.655914307</v>
      </c>
      <c s="72">
        <f>IF('[1]Leakage Tree Data'!V158&lt;&gt;"",'[1]Leakage Tree Data'!V158,"")</f>
        <v>-0.0410286887585727</v>
      </c>
      <c s="72">
        <f>IF('[1]Leakage Tree Data'!W158&lt;&gt;"",'[1]Leakage Tree Data'!W158,"")</f>
        <v>-1855949.2237854</v>
      </c>
      <c s="72">
        <f>IF('[1]Leakage Tree Data'!X158&lt;&gt;"",'[1]Leakage Tree Data'!X158,"")</f>
      </c>
      <c s="72">
        <f>IF('[1]Leakage Tree Data'!Y158&lt;&gt;"",'[1]Leakage Tree Data'!Y158,"")</f>
      </c>
      <c s="72">
        <f>IF('[1]Leakage Tree Data'!Z158&lt;&gt;"",'[1]Leakage Tree Data'!Z158,"")</f>
      </c>
      <c s="72">
        <f>IF('[1]Leakage Tree Data'!AA158&lt;&gt;"",'[1]Leakage Tree Data'!AA158,"")</f>
      </c>
      <c s="72">
        <f>IF('[1]Leakage Tree Data'!AB158&lt;&gt;"",'[1]Leakage Tree Data'!AB158,"")</f>
      </c>
      <c s="72">
        <f>IF('[1]Leakage Tree Data'!AC158&lt;&gt;"",'[1]Leakage Tree Data'!AC158,"")</f>
      </c>
      <c s="72">
        <f>IF('[1]Leakage Tree Data'!AD158&lt;&gt;"",'[1]Leakage Tree Data'!AD158,"")</f>
      </c>
      <c s="72">
        <f>IF('[1]Leakage Tree Data'!AE158&lt;&gt;"",'[1]Leakage Tree Data'!AE158,"")</f>
      </c>
      <c s="73">
        <f t="shared" si="126"/>
      </c>
      <c s="73">
        <f t="shared" si="127"/>
      </c>
      <c s="73">
        <f t="shared" si="128"/>
      </c>
      <c s="73">
        <f t="shared" si="129"/>
      </c>
      <c s="74">
        <f t="shared" si="108"/>
      </c>
      <c s="74">
        <f t="shared" si="109"/>
      </c>
      <c s="69" t="str">
        <f t="shared" si="110"/>
        <v>Total US - Pet Supermarket</v>
      </c>
      <c s="69" t="str">
        <f t="shared" si="111"/>
        <v>Total US - Pet</v>
      </c>
      <c s="77"/>
    </row>
    <row r="260" spans="1:141" ht="15">
      <c r="A260"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IF(ISERROR(FIND("Walmart",CV260))=FALSE,CW260,"")</f>
      </c>
      <c s="75">
        <f t="shared" ref="CB260" si="132">IF(ISERROR(VLOOKUP(CV260,$AL$8:$AL$14,1,FALSE))=TRUE,IF(AND(CV260=CW260,CV260&lt;&gt;"",DI$111&lt;&gt;"",DK260&lt;&gt;""),IF(CW$101="Y",DK260-IF(ISERROR(VLOOKUP(CV260,$CA$113:$DK$300,37,FALSE))=TRUE,0,IF(VLOOKUP(CV260,$CA$113:$DK$300,37,FALSE)="",0,VLOOKUP(CV260,$CA$113:$DK$300,37,FALSE))),DK260-IF(AND(CW$102="Y",CV260=$CW$111),DI$111,0)),""),"")</f>
      </c>
      <c s="76">
        <f t="shared" ref="CC260" si="133">IF(ISERROR(VLOOKUP(CV260,$AL$8:$AL$14,1,FALSE))=TRUE,IF(CB260&lt;&gt;"",IF(CB260&gt;0,IF(Z$4&lt;&gt;"",MIN(4,RANK(CB260,$CB$111:$CB$300)),RANK(CB260,$CB$111:$CB$300)),""),""),"")</f>
      </c>
      <c s="75">
        <f t="shared" si="102"/>
      </c>
      <c s="76">
        <f t="shared" si="114"/>
      </c>
      <c s="75">
        <f t="shared" si="103"/>
      </c>
      <c s="76">
        <f t="shared" si="115"/>
      </c>
      <c s="75">
        <f t="shared" si="104"/>
      </c>
      <c s="76">
        <f t="shared" si="116"/>
      </c>
      <c s="75">
        <f t="shared" si="130"/>
      </c>
      <c s="76">
        <f t="shared" ref="CK260" si="134">IF(ISERROR(VLOOKUP(CV260,$AL$8:$AL$14,1,FALSE))=TRUE,IF(CJ260&lt;&gt;"",IF(CJ260&gt;0,RANK(CJ260,$CJ$111:$CJ$300),""),""),"")</f>
      </c>
      <c s="75">
        <f t="shared" ref="CL260" si="135">IF(ISERROR(VLOOKUP(CV260,$AL$8:$AL$14,1,FALSE))=TRUE,IF(AND(CV260=CW260,CV260&lt;&gt;"",DJ260&lt;&gt;""),IF(AND(ISERROR(FIND("NeighMkt",$CX$102))=FALSE,LEFT($CW$111,10)="ALL OUTLET"),DJ260-IF(ISERROR(VLOOKUP(CV260,$CA$113:$DK$300,36,FALSE))=TRUE,0,IF(VLOOKUP(CV260,$CA$113:$DK$300,36,FALSE)="",0,VLOOKUP(CV260,$CA$113:$DK$300,36,FALSE))),DJ260),""),"")</f>
      </c>
      <c s="76">
        <f t="shared" ref="CM260" si="136">IF(ISERROR(VLOOKUP(CV260,$AL$8:$AL$14,1,FALSE))=TRUE,IF(CL260&lt;&gt;"",IF(CL260&gt;0,IF($Z$4&lt;&gt;"",MIN(4,RANK(CL260,$CL$111:$CL$300)),RANK(CL260,$CL$111:$CL$300)),""),""),"")</f>
      </c>
      <c s="75">
        <f t="shared" si="105"/>
      </c>
      <c s="76">
        <f t="shared" si="120"/>
      </c>
      <c s="75">
        <f t="shared" si="106"/>
      </c>
      <c s="76">
        <f t="shared" si="121"/>
      </c>
      <c s="75">
        <f t="shared" si="107"/>
      </c>
      <c s="76">
        <f t="shared" si="122"/>
      </c>
      <c s="75">
        <f t="shared" si="131"/>
      </c>
      <c s="76">
        <f t="shared" si="123"/>
      </c>
      <c s="65" t="str">
        <f t="shared" si="124"/>
        <v>Pet Supplies Plus</v>
      </c>
      <c s="65" t="str">
        <f t="shared" si="125"/>
        <v>Pet</v>
      </c>
      <c s="72" t="str">
        <f>IF('[1]Leakage Tree Data'!A159&lt;&gt;"",'[1]Leakage Tree Data'!A159,"")</f>
        <v>Total US - Pet Supplies Plus</v>
      </c>
      <c s="72" t="str">
        <f>IF('[1]Leakage Tree Data'!B159&lt;&gt;"",'[1]Leakage Tree Data'!B159,"")</f>
        <v>Total US - Pet</v>
      </c>
      <c s="72">
        <f>IF('[1]Leakage Tree Data'!C159&lt;&gt;"",'[1]Leakage Tree Data'!C159,"")</f>
        <v>121171760.292236</v>
      </c>
      <c s="72">
        <f>IF('[1]Leakage Tree Data'!D159&lt;&gt;"",'[1]Leakage Tree Data'!D159,"")</f>
        <v>3258505.65899658</v>
      </c>
      <c s="72">
        <f>IF('[1]Leakage Tree Data'!E159&lt;&gt;"",'[1]Leakage Tree Data'!E159,"")</f>
        <v>2.68916259955114</v>
      </c>
      <c s="72">
        <f>IF('[1]Leakage Tree Data'!F159&lt;&gt;"",'[1]Leakage Tree Data'!F159,"")</f>
        <v>117913254.63324</v>
      </c>
      <c s="72">
        <f>IF('[1]Leakage Tree Data'!G159&lt;&gt;"",'[1]Leakage Tree Data'!G159,"")</f>
        <v>97.3108374004489</v>
      </c>
      <c s="72">
        <f>IF('[1]Leakage Tree Data'!H159&lt;&gt;"",'[1]Leakage Tree Data'!H159,"")</f>
        <v>61518209.9918823</v>
      </c>
      <c s="72" t="str">
        <f>IF('[1]Leakage Tree Data'!I159&lt;&gt;"",'[1]Leakage Tree Data'!I159,"")</f>
        <v>Pet</v>
      </c>
      <c s="72">
        <f>IF('[1]Leakage Tree Data'!J159&lt;&gt;"",'[1]Leakage Tree Data'!J159,"")</f>
      </c>
      <c s="72">
        <f>IF('[1]Leakage Tree Data'!K159&lt;&gt;"",'[1]Leakage Tree Data'!K159,"")</f>
      </c>
      <c s="72">
        <f>IF('[1]Leakage Tree Data'!L159&lt;&gt;"",'[1]Leakage Tree Data'!L159,"")</f>
      </c>
      <c s="72">
        <f>IF('[1]Leakage Tree Data'!M159&lt;&gt;"",'[1]Leakage Tree Data'!M159,"")</f>
      </c>
      <c s="72">
        <f>IF('[1]Leakage Tree Data'!N159&lt;&gt;"",'[1]Leakage Tree Data'!N159,"")</f>
      </c>
      <c s="72">
        <f>IF('[1]Leakage Tree Data'!O159&lt;&gt;"",'[1]Leakage Tree Data'!O159,"")</f>
      </c>
      <c s="72">
        <f>IF('[1]Leakage Tree Data'!P159&lt;&gt;"",'[1]Leakage Tree Data'!P159,"")</f>
      </c>
      <c s="72">
        <f>IF('[1]Leakage Tree Data'!Q159&lt;&gt;"",'[1]Leakage Tree Data'!Q159,"")</f>
      </c>
      <c s="72">
        <f>IF('[1]Leakage Tree Data'!R159&lt;&gt;"",'[1]Leakage Tree Data'!R159,"")</f>
        <v>1017625.85098267</v>
      </c>
      <c s="72">
        <f>IF('[1]Leakage Tree Data'!S159&lt;&gt;"",'[1]Leakage Tree Data'!S159,"")</f>
        <v>114583.911956787</v>
      </c>
      <c s="72">
        <f>IF('[1]Leakage Tree Data'!T159&lt;&gt;"",'[1]Leakage Tree Data'!T159,"")</f>
        <v>0.0725886783458463</v>
      </c>
      <c s="72">
        <f>IF('[1]Leakage Tree Data'!U159&lt;&gt;"",'[1]Leakage Tree Data'!U159,"")</f>
        <v>903041.939025879</v>
      </c>
      <c s="72">
        <f>IF('[1]Leakage Tree Data'!V159&lt;&gt;"",'[1]Leakage Tree Data'!V159,"")</f>
        <v>-0.0725886783458378</v>
      </c>
      <c s="72">
        <f>IF('[1]Leakage Tree Data'!W159&lt;&gt;"",'[1]Leakage Tree Data'!W159,"")</f>
        <v>-1855949.2237854</v>
      </c>
      <c s="72">
        <f>IF('[1]Leakage Tree Data'!X159&lt;&gt;"",'[1]Leakage Tree Data'!X159,"")</f>
      </c>
      <c s="72">
        <f>IF('[1]Leakage Tree Data'!Y159&lt;&gt;"",'[1]Leakage Tree Data'!Y159,"")</f>
      </c>
      <c s="72">
        <f>IF('[1]Leakage Tree Data'!Z159&lt;&gt;"",'[1]Leakage Tree Data'!Z159,"")</f>
      </c>
      <c s="72">
        <f>IF('[1]Leakage Tree Data'!AA159&lt;&gt;"",'[1]Leakage Tree Data'!AA159,"")</f>
      </c>
      <c s="72">
        <f>IF('[1]Leakage Tree Data'!AB159&lt;&gt;"",'[1]Leakage Tree Data'!AB159,"")</f>
      </c>
      <c s="72">
        <f>IF('[1]Leakage Tree Data'!AC159&lt;&gt;"",'[1]Leakage Tree Data'!AC159,"")</f>
      </c>
      <c s="72">
        <f>IF('[1]Leakage Tree Data'!AD159&lt;&gt;"",'[1]Leakage Tree Data'!AD159,"")</f>
      </c>
      <c s="72">
        <f>IF('[1]Leakage Tree Data'!AE159&lt;&gt;"",'[1]Leakage Tree Data'!AE159,"")</f>
      </c>
      <c s="73">
        <f t="shared" ref="EC260" si="137">IF(AND(CV260=CW260,CV260&lt;&gt;"",DJ260&lt;&gt;""),IF(AND(ISERROR(FIND("NeighMkt",$CX$102))=FALSE,LEFT($CW$111,10)="ALL OUTLET"),DJ260-IF(ISERROR(VLOOKUP(CV260,$CA$113:$DK$300,36,FALSE))=TRUE,0,IF(VLOOKUP(CV260,$CA$113:$DK$300,36,FALSE)="",0,VLOOKUP(CV260,$CA$113:$DK$300,36,FALSE))),DJ260),"")</f>
      </c>
      <c s="73">
        <f t="shared" ref="ED260" si="138">IF(AND(CV260=CW260,CV260&lt;&gt;"",DI$111&lt;&gt;"",DK260&lt;&gt;""),IF(CW$101="Y",DK260-IF(ISERROR(VLOOKUP(CV260,$CA$113:$DK$300,37,FALSE))=TRUE,0,IF(VLOOKUP(CV260,$CA$113:$DK$300,37,FALSE)="",0,VLOOKUP(CV260,$CA$113:$DK$300,37,FALSE))),DK260-IF(AND(CW$102="Y",CV260=$CW$111),DI$111,0)),"")</f>
      </c>
      <c s="73">
        <f t="shared" ref="EE260" si="139">IF(AND(CV260=CW260,CV260&lt;&gt;"",DJ260&lt;&gt;"",DY260&lt;&gt;""),IF(AND(ISERROR(FIND("NeighMkt",$CX$102))=FALSE,LEFT($CW$111,10)="ALL OUTLET"),DY260-IF(ISERROR(VLOOKUP(CV260,$CA$113:$DZ$300,51,FALSE))=TRUE,0,IF(VLOOKUP(CV260,$CA$113:$DZ$300,51,FALSE)="",0,VLOOKUP(CV260,$CA$113:$DZ$300,51,FALSE))),DY260),"")</f>
      </c>
      <c s="73">
        <f t="shared" ref="EF260" si="140">IF(AND(CV260=CW260,CV260&lt;&gt;"",DI$111&lt;&gt;"",DK260&lt;&gt;"",DZ260&lt;&gt;""),IF(CW$101="Y",DZ260-IF(ISERROR(VLOOKUP(CV260,$CA$113:$DZ$300,52,FALSE))=TRUE,0,IF(VLOOKUP(CV260,$CA$113:$DZ$300,52,FALSE)="",0,VLOOKUP(CV260,$CA$113:$DZ$300,52,FALSE))),DZ260-IF(AND(CW$102="Y",CV260=$CW$111),DX$111,0)),"")</f>
      </c>
      <c s="74">
        <f t="shared" si="108"/>
      </c>
      <c s="74">
        <f t="shared" si="109"/>
      </c>
      <c s="69" t="str">
        <f t="shared" si="110"/>
        <v>Total US - Pet Supplies Plus</v>
      </c>
      <c s="69" t="str">
        <f t="shared" si="111"/>
        <v>Total US - Pet</v>
      </c>
      <c s="77"/>
    </row>
    <row r="261" spans="1:140" ht="15">
      <c r="A261"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ref="CA261:CA300" si="141">IF(ISERROR(FIND("Walmart",CV261))=FALSE,CW261,"")</f>
      </c>
      <c s="75">
        <f t="shared" ref="CB261:CB300" si="142">IF(ISERROR(VLOOKUP(CV261,$AL$8:$AL$14,1,FALSE))=TRUE,IF(AND(CV261=CW261,CV261&lt;&gt;"",DI$111&lt;&gt;"",DK261&lt;&gt;""),IF(CW$101="Y",DK261-IF(ISERROR(VLOOKUP(CV261,$CA$113:$DK$300,37,FALSE))=TRUE,0,IF(VLOOKUP(CV261,$CA$113:$DK$300,37,FALSE)="",0,VLOOKUP(CV261,$CA$113:$DK$300,37,FALSE))),DK261-IF(AND(CW$102="Y",CV261=$CW$111),DI$111,0)),""),"")</f>
      </c>
      <c s="76">
        <f t="shared" ref="CC261:CC300" si="143">IF(ISERROR(VLOOKUP(CV261,$AL$8:$AL$14,1,FALSE))=TRUE,IF(CB261&lt;&gt;"",IF(CB261&gt;0,IF(Z$4&lt;&gt;"",MIN(4,RANK(CB261,$CB$111:$CB$300)),RANK(CB261,$CB$111:$CB$300)),""),""),"")</f>
      </c>
      <c s="75">
        <f t="shared" ref="CD261:CD300" si="144">IF(ISERROR(VLOOKUP(CV261,$AL$8:$AL$14,1,FALSE))=TRUE,IF(AND(ISERROR(FIND("NeighMkt",$CX$102))=FALSE,LEFT($CW$111,10)="ALL OUTLET",$CA261&lt;&gt;"",DK261&lt;&gt;""),"",IF(AND($CV261&lt;&gt;$CW261,$CW261=CD$110),$DK261,"")),"")</f>
      </c>
      <c s="76">
        <f t="shared" ref="CE261:CE300" si="145">IF(ISERROR(VLOOKUP(CV261,$AL$8:$AL$14,1,FALSE))=TRUE,IF(CD261&lt;&gt;"",IF(CD261&gt;0,RANK(CD261,$CD$111:$CD$300),""),""),"")</f>
      </c>
      <c s="75">
        <f t="shared" ref="CF261:CF300" si="146">IF(ISERROR(VLOOKUP(CV261,$AL$8:$AL$14,1,FALSE))=TRUE,IF(AND(ISERROR(FIND("NeighMkt",$CX$102))=FALSE,LEFT($CW$111,10)="ALL OUTLET",$CA261&lt;&gt;"",DK261&lt;&gt;""),"",IF(AND($CV261&lt;&gt;$CW261,$CW261=CF$110),$DK261,"")),"")</f>
      </c>
      <c s="76">
        <f t="shared" ref="CG261:CG300" si="147">IF(ISERROR(VLOOKUP(CV261,$AL$8:$AL$14,1,FALSE))=TRUE,IF(CF261&lt;&gt;"",IF(CF261&gt;0,RANK(CF261,$CF$111:$CF$300),""),""),"")</f>
      </c>
      <c s="75">
        <f t="shared" ref="CH261:CH300" si="148">IF(ISERROR(VLOOKUP(CV261,$AL$8:$AL$14,1,FALSE))=TRUE,IF(AND(ISERROR(FIND("NeighMkt",$CX$102))=FALSE,LEFT($CW$111,10)="ALL OUTLET",$CA261&lt;&gt;"",DK261&lt;&gt;""),"",IF(AND($CV261&lt;&gt;$CW261,$CW261=CH$110),$DK261,"")),"")</f>
      </c>
      <c s="76">
        <f t="shared" ref="CI261:CI300" si="149">IF(ISERROR(VLOOKUP(CV261,$AL$8:$AL$14,1,FALSE))=TRUE,IF(CH261&lt;&gt;"",IF(CH261&gt;0,RANK(CH261,$CH$111:$CH$300),""),""),"")</f>
      </c>
      <c s="75">
        <f t="shared" ref="CJ261:CJ300" si="150">IF(ISERROR(VLOOKUP(CV261,$AL$8:$AL$14,1,FALSE))=TRUE,IF(AND(ISERROR(FIND("NeighMkt",$CX$102))=FALSE,LEFT($CW$111,10)="ALL OUTLET",$CA261&lt;&gt;"",DK261&lt;&gt;""),"",IF($Z$4="",IF(AND($CV261&lt;&gt;$CW261,$CW261=CJ$110),$DK261,""),IF(AND($CV261&lt;&gt;$CW261,$CW261&lt;&gt;CD$110,$CW261&lt;&gt;CF$110,$CW261&lt;&gt;CH$110,$CW261&lt;&gt;$CV$111),$DK261,""))),"")</f>
      </c>
      <c s="76">
        <f t="shared" ref="CK261:CK300" si="151">IF(ISERROR(VLOOKUP(CV261,$AL$8:$AL$14,1,FALSE))=TRUE,IF(CJ261&lt;&gt;"",IF(CJ261&gt;0,RANK(CJ261,$CJ$111:$CJ$300),""),""),"")</f>
      </c>
      <c s="75">
        <f t="shared" ref="CL261:CL300" si="152">IF(ISERROR(VLOOKUP(CV261,$AL$8:$AL$14,1,FALSE))=TRUE,IF(AND(CV261=CW261,CV261&lt;&gt;"",DJ261&lt;&gt;""),IF(AND(ISERROR(FIND("NeighMkt",$CX$102))=FALSE,LEFT($CW$111,10)="ALL OUTLET"),DJ261-IF(ISERROR(VLOOKUP(CV261,$CA$113:$DK$300,36,FALSE))=TRUE,0,IF(VLOOKUP(CV261,$CA$113:$DK$300,36,FALSE)="",0,VLOOKUP(CV261,$CA$113:$DK$300,36,FALSE))),DJ261),""),"")</f>
      </c>
      <c s="76">
        <f t="shared" ref="CM261:CM300" si="153">IF(ISERROR(VLOOKUP(CV261,$AL$8:$AL$14,1,FALSE))=TRUE,IF(CL261&lt;&gt;"",IF(CL261&gt;0,IF($Z$4&lt;&gt;"",MIN(4,RANK(CL261,$CL$111:$CL$300)),RANK(CL261,$CL$111:$CL$300)),""),""),"")</f>
      </c>
      <c s="75">
        <f t="shared" ref="CN261:CN300" si="154">IF(ISERROR(VLOOKUP(CV261,$AL$8:$AL$14,1,FALSE))=TRUE,IF(AND(ISERROR(FIND("NeighMkt",$CX$102))=FALSE,LEFT($CW$111,10)="ALL OUTLET",$CA261&lt;&gt;"",DJ261&lt;&gt;""),"",IF(AND($CV261&lt;&gt;$CW261,$CW261=CN$110),$DJ261,"")),"")</f>
      </c>
      <c s="76">
        <f t="shared" ref="CO261:CO300" si="155">IF(ISERROR(VLOOKUP(CV261,$AL$8:$AL$14,1,FALSE))=TRUE,IF(CN261&lt;&gt;"",IF(CN261&gt;0,RANK(CN261,$CN$111:$CN$300),""),""),"")</f>
      </c>
      <c s="75">
        <f t="shared" ref="CP261:CP300" si="156">IF(ISERROR(VLOOKUP(CV261,$AL$8:$AL$14,1,FALSE))=TRUE,IF(AND(ISERROR(FIND("NeighMkt",$CX$102))=FALSE,LEFT($CW$111,10)="ALL OUTLET",$CA261&lt;&gt;"",DJ261&lt;&gt;""),"",IF(AND($CV261&lt;&gt;$CW261,$CW261=CP$110),$DJ261,"")),"")</f>
      </c>
      <c s="76">
        <f t="shared" ref="CQ261:CQ300" si="157">IF(ISERROR(VLOOKUP(CV261,$AL$8:$AL$14,1,FALSE))=TRUE,IF(CP261&lt;&gt;"",IF(CP261&gt;0,RANK(CP261,$CP$111:$CP$300),""),""),"")</f>
      </c>
      <c s="75">
        <f t="shared" ref="CR261:CR300" si="158">IF(ISERROR(VLOOKUP(CV261,$AL$8:$AL$14,1,FALSE))=TRUE,IF(AND(ISERROR(FIND("NeighMkt",$CX$102))=FALSE,LEFT($CW$111,10)="ALL OUTLET",$CA261&lt;&gt;"",DJ261&lt;&gt;""),"",IF(AND($CV261&lt;&gt;$CW261,$CW261=CR$110),$DJ261,"")),"")</f>
      </c>
      <c s="76">
        <f t="shared" ref="CS261:CS300" si="159">IF(ISERROR(VLOOKUP(CV261,$AL$8:$AL$14,1,FALSE))=TRUE,IF(CR261&lt;&gt;"",IF(CR261&gt;0,RANK(CR261,$CR$111:$CR$300),""),""),"")</f>
      </c>
      <c s="75">
        <f t="shared" ref="CT261:CT300" si="160">IF(ISERROR(VLOOKUP(CV261,$AL$8:$AL$14,1,FALSE))=TRUE,IF(AND(ISERROR(FIND("NeighMkt",$CX$102))=FALSE,LEFT($CW$111,10)="ALL OUTLET",$CA261&lt;&gt;"",DJ261&lt;&gt;""),"",IF($Z$4="",IF(AND($CV261&lt;&gt;$CW261,$CW261=CT$110),$DJ261,""),IF(AND($CV261&lt;&gt;$CW261,$CW261&lt;&gt;CN$110,$CW261&lt;&gt;CP$110,$CW261&lt;&gt;CR$110,$CW261&lt;&gt;$CV$111),$DJ261,""))),"")</f>
      </c>
      <c s="76">
        <f t="shared" ref="CU261:CU300" si="161">IF(ISERROR(VLOOKUP(CV261,$AL$8:$AL$14,1,FALSE))=TRUE,IF(CT261&lt;&gt;"",IF(CT261&gt;0,RANK(CT261,$CT$111:$CT$300),""),""),"")</f>
      </c>
      <c s="65" t="str">
        <f t="shared" ref="CV261:CV300" si="162">IF(ISERROR(RIGHT(EI261,LEN(EI261)-IF(ISERROR(FIND(" - ",SUBSTITUTE(EI261," - ","^^^",1)))=FALSE,FIND(" - ",SUBSTITUTE(EI261," - ","^^^",1)),FIND(" - ",EI261))-3+1))=FALSE,RIGHT(EI261,LEN(EI261)-IF(ISERROR(FIND(" - ",SUBSTITUTE(EI261," - ","^^^",1)))=FALSE,FIND(" - ",SUBSTITUTE(EI261," - ","^^^",1)),FIND(" - ",EI261))-3+1),"")</f>
        <v>Petco</v>
      </c>
      <c s="65" t="str">
        <f t="shared" ref="CW261:CW300" si="163">IF(EJ261&lt;&gt;"",RIGHT(EJ261,LEN(EJ261)-IF(ISERROR(FIND(" - ",SUBSTITUTE(EJ261," - ","^^^",1)))=FALSE,FIND(" - ",SUBSTITUTE(EJ261," - ","^^^",1)),FIND(" - ",EJ261))-3+1),"")</f>
        <v>Pet</v>
      </c>
      <c s="72" t="str">
        <f>IF('[1]Leakage Tree Data'!A160&lt;&gt;"",'[1]Leakage Tree Data'!A160,"")</f>
        <v>Total US - Petco</v>
      </c>
      <c s="72" t="str">
        <f>IF('[1]Leakage Tree Data'!B160&lt;&gt;"",'[1]Leakage Tree Data'!B160,"")</f>
        <v>Total US - Pet</v>
      </c>
      <c s="72">
        <f>IF('[1]Leakage Tree Data'!C160&lt;&gt;"",'[1]Leakage Tree Data'!C160,"")</f>
        <v>121171760.292236</v>
      </c>
      <c s="72">
        <f>IF('[1]Leakage Tree Data'!D160&lt;&gt;"",'[1]Leakage Tree Data'!D160,"")</f>
        <v>12284535.4778748</v>
      </c>
      <c s="72">
        <f>IF('[1]Leakage Tree Data'!E160&lt;&gt;"",'[1]Leakage Tree Data'!E160,"")</f>
        <v>10.138117535181</v>
      </c>
      <c s="72">
        <f>IF('[1]Leakage Tree Data'!F160&lt;&gt;"",'[1]Leakage Tree Data'!F160,"")</f>
        <v>108887224.814362</v>
      </c>
      <c s="72">
        <f>IF('[1]Leakage Tree Data'!G160&lt;&gt;"",'[1]Leakage Tree Data'!G160,"")</f>
        <v>89.8618824648189</v>
      </c>
      <c s="72">
        <f>IF('[1]Leakage Tree Data'!H160&lt;&gt;"",'[1]Leakage Tree Data'!H160,"")</f>
        <v>61518209.9918823</v>
      </c>
      <c s="72" t="str">
        <f>IF('[1]Leakage Tree Data'!I160&lt;&gt;"",'[1]Leakage Tree Data'!I160,"")</f>
        <v>Pet</v>
      </c>
      <c s="72">
        <f>IF('[1]Leakage Tree Data'!J160&lt;&gt;"",'[1]Leakage Tree Data'!J160,"")</f>
      </c>
      <c s="72">
        <f>IF('[1]Leakage Tree Data'!K160&lt;&gt;"",'[1]Leakage Tree Data'!K160,"")</f>
      </c>
      <c s="72">
        <f>IF('[1]Leakage Tree Data'!L160&lt;&gt;"",'[1]Leakage Tree Data'!L160,"")</f>
      </c>
      <c s="72">
        <f>IF('[1]Leakage Tree Data'!M160&lt;&gt;"",'[1]Leakage Tree Data'!M160,"")</f>
      </c>
      <c s="72">
        <f>IF('[1]Leakage Tree Data'!N160&lt;&gt;"",'[1]Leakage Tree Data'!N160,"")</f>
      </c>
      <c s="72">
        <f>IF('[1]Leakage Tree Data'!O160&lt;&gt;"",'[1]Leakage Tree Data'!O160,"")</f>
      </c>
      <c s="72">
        <f>IF('[1]Leakage Tree Data'!P160&lt;&gt;"",'[1]Leakage Tree Data'!P160,"")</f>
      </c>
      <c s="72">
        <f>IF('[1]Leakage Tree Data'!Q160&lt;&gt;"",'[1]Leakage Tree Data'!Q160,"")</f>
      </c>
      <c s="72">
        <f>IF('[1]Leakage Tree Data'!R160&lt;&gt;"",'[1]Leakage Tree Data'!R160,"")</f>
        <v>1017625.85098267</v>
      </c>
      <c s="72">
        <f>IF('[1]Leakage Tree Data'!S160&lt;&gt;"",'[1]Leakage Tree Data'!S160,"")</f>
        <v>-336320.3828125</v>
      </c>
      <c s="72">
        <f>IF('[1]Leakage Tree Data'!T160&lt;&gt;"",'[1]Leakage Tree Data'!T160,"")</f>
        <v>-0.365770590997338</v>
      </c>
      <c s="72">
        <f>IF('[1]Leakage Tree Data'!U160&lt;&gt;"",'[1]Leakage Tree Data'!U160,"")</f>
        <v>1353946.23379517</v>
      </c>
      <c s="72">
        <f>IF('[1]Leakage Tree Data'!V160&lt;&gt;"",'[1]Leakage Tree Data'!V160,"")</f>
        <v>0.365770590997329</v>
      </c>
      <c s="72">
        <f>IF('[1]Leakage Tree Data'!W160&lt;&gt;"",'[1]Leakage Tree Data'!W160,"")</f>
        <v>-1855949.2237854</v>
      </c>
      <c s="72">
        <f>IF('[1]Leakage Tree Data'!X160&lt;&gt;"",'[1]Leakage Tree Data'!X160,"")</f>
      </c>
      <c s="72">
        <f>IF('[1]Leakage Tree Data'!Y160&lt;&gt;"",'[1]Leakage Tree Data'!Y160,"")</f>
      </c>
      <c s="72">
        <f>IF('[1]Leakage Tree Data'!Z160&lt;&gt;"",'[1]Leakage Tree Data'!Z160,"")</f>
      </c>
      <c s="72">
        <f>IF('[1]Leakage Tree Data'!AA160&lt;&gt;"",'[1]Leakage Tree Data'!AA160,"")</f>
      </c>
      <c s="72">
        <f>IF('[1]Leakage Tree Data'!AB160&lt;&gt;"",'[1]Leakage Tree Data'!AB160,"")</f>
      </c>
      <c s="72">
        <f>IF('[1]Leakage Tree Data'!AC160&lt;&gt;"",'[1]Leakage Tree Data'!AC160,"")</f>
      </c>
      <c s="72">
        <f>IF('[1]Leakage Tree Data'!AD160&lt;&gt;"",'[1]Leakage Tree Data'!AD160,"")</f>
      </c>
      <c s="72">
        <f>IF('[1]Leakage Tree Data'!AE160&lt;&gt;"",'[1]Leakage Tree Data'!AE160,"")</f>
      </c>
      <c s="73">
        <f t="shared" ref="EC261:EC300" si="164">IF(AND(CV261=CW261,CV261&lt;&gt;"",DJ261&lt;&gt;""),IF(AND(ISERROR(FIND("NeighMkt",$CX$102))=FALSE,LEFT($CW$111,10)="ALL OUTLET"),DJ261-IF(ISERROR(VLOOKUP(CV261,$CA$113:$DK$300,36,FALSE))=TRUE,0,IF(VLOOKUP(CV261,$CA$113:$DK$300,36,FALSE)="",0,VLOOKUP(CV261,$CA$113:$DK$300,36,FALSE))),DJ261),"")</f>
      </c>
      <c s="73">
        <f t="shared" ref="ED261:ED300" si="165">IF(AND(CV261=CW261,CV261&lt;&gt;"",DI$111&lt;&gt;"",DK261&lt;&gt;""),IF(CW$101="Y",DK261-IF(ISERROR(VLOOKUP(CV261,$CA$113:$DK$300,37,FALSE))=TRUE,0,IF(VLOOKUP(CV261,$CA$113:$DK$300,37,FALSE)="",0,VLOOKUP(CV261,$CA$113:$DK$300,37,FALSE))),DK261-IF(AND(CW$102="Y",CV261=$CW$111),DI$111,0)),"")</f>
      </c>
      <c s="73">
        <f t="shared" ref="EE261:EE300" si="166">IF(AND(CV261=CW261,CV261&lt;&gt;"",DJ261&lt;&gt;"",DY261&lt;&gt;""),IF(AND(ISERROR(FIND("NeighMkt",$CX$102))=FALSE,LEFT($CW$111,10)="ALL OUTLET"),DY261-IF(ISERROR(VLOOKUP(CV261,$CA$113:$DZ$300,51,FALSE))=TRUE,0,IF(VLOOKUP(CV261,$CA$113:$DZ$300,51,FALSE)="",0,VLOOKUP(CV261,$CA$113:$DZ$300,51,FALSE))),DY261),"")</f>
      </c>
      <c s="73">
        <f t="shared" ref="EF261:EF300" si="167">IF(AND(CV261=CW261,CV261&lt;&gt;"",DI$111&lt;&gt;"",DK261&lt;&gt;"",DZ261&lt;&gt;""),IF(CW$101="Y",DZ261-IF(ISERROR(VLOOKUP(CV261,$CA$113:$DZ$300,52,FALSE))=TRUE,0,IF(VLOOKUP(CV261,$CA$113:$DZ$300,52,FALSE)="",0,VLOOKUP(CV261,$CA$113:$DZ$300,52,FALSE))),DZ261-IF(AND(CW$102="Y",CV261=$CW$111),DX$111,0)),"")</f>
      </c>
      <c s="74">
        <f t="shared" ref="EG261:EG300" si="168">IF(AND(CV261=CW261,CV261&lt;&gt;"",DJ261&lt;&gt;"",EE261&lt;&gt;""),EC261/$DJ$112-(EC261-EE261)/($DJ$112-$DY$112),"")</f>
      </c>
      <c s="74">
        <f t="shared" ref="EH261:EH300" si="169">IF(AND(CV261=CW261,CV261&lt;&gt;"",DI$111&lt;&gt;"",DK261&lt;&gt;"",EF261&lt;&gt;""),ED261/$DI$112-(ED261-EF261)/($DI$112-$DX$112),"")</f>
      </c>
      <c s="69" t="str">
        <f t="shared" ref="EI261:EI300" si="170">IF(CX261&lt;&gt;"",IF(CW$102&lt;&gt;"Y",IF(ISERROR(FIND(" - ",CX261))=FALSE,CX261,SUBSTITUTE(CX261,"-"," - ")),CX261),"")</f>
        <v>Total US - Petco</v>
      </c>
      <c s="69" t="str">
        <f t="shared" ref="EJ261:EJ300" si="171">IF(CX261&lt;&gt;"",IF(CW$102&lt;&gt;"Y",IF(ISERROR(FIND(" - ",CY261))=FALSE,CY261,SUBSTITUTE(CY261,"-"," - ")),CY261),"")</f>
        <v>Total US - Pet</v>
      </c>
    </row>
    <row r="262" spans="1:140" ht="15">
      <c r="A262"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141"/>
      </c>
      <c s="75">
        <f t="shared" si="142"/>
      </c>
      <c s="76">
        <f t="shared" si="143"/>
      </c>
      <c s="75">
        <f t="shared" si="144"/>
      </c>
      <c s="76">
        <f t="shared" si="145"/>
      </c>
      <c s="75">
        <f t="shared" si="146"/>
      </c>
      <c s="76">
        <f t="shared" si="147"/>
      </c>
      <c s="75">
        <f t="shared" si="148"/>
      </c>
      <c s="76">
        <f t="shared" si="149"/>
      </c>
      <c s="75">
        <f t="shared" si="150"/>
      </c>
      <c s="76">
        <f t="shared" si="151"/>
      </c>
      <c s="75">
        <f t="shared" si="152"/>
      </c>
      <c s="76">
        <f t="shared" si="153"/>
      </c>
      <c s="75">
        <f t="shared" si="154"/>
      </c>
      <c s="76">
        <f t="shared" si="155"/>
      </c>
      <c s="75">
        <f t="shared" si="156"/>
      </c>
      <c s="76">
        <f t="shared" si="157"/>
      </c>
      <c s="75">
        <f t="shared" si="158"/>
      </c>
      <c s="76">
        <f t="shared" si="159"/>
      </c>
      <c s="75">
        <f t="shared" si="160"/>
      </c>
      <c s="76">
        <f t="shared" si="161"/>
      </c>
      <c s="65" t="str">
        <f t="shared" si="162"/>
        <v>Petsmart</v>
      </c>
      <c s="65" t="str">
        <f t="shared" si="163"/>
        <v>Pet</v>
      </c>
      <c s="72" t="str">
        <f>IF('[1]Leakage Tree Data'!A161&lt;&gt;"",'[1]Leakage Tree Data'!A161,"")</f>
        <v>Total US - Petsmart</v>
      </c>
      <c s="72" t="str">
        <f>IF('[1]Leakage Tree Data'!B161&lt;&gt;"",'[1]Leakage Tree Data'!B161,"")</f>
        <v>Total US - Pet</v>
      </c>
      <c s="72">
        <f>IF('[1]Leakage Tree Data'!C161&lt;&gt;"",'[1]Leakage Tree Data'!C161,"")</f>
        <v>121171760.292236</v>
      </c>
      <c s="72">
        <f>IF('[1]Leakage Tree Data'!D161&lt;&gt;"",'[1]Leakage Tree Data'!D161,"")</f>
        <v>18359285.0797729</v>
      </c>
      <c s="72">
        <f>IF('[1]Leakage Tree Data'!E161&lt;&gt;"",'[1]Leakage Tree Data'!E161,"")</f>
        <v>15.1514552858644</v>
      </c>
      <c s="72">
        <f>IF('[1]Leakage Tree Data'!F161&lt;&gt;"",'[1]Leakage Tree Data'!F161,"")</f>
        <v>102812475.212463</v>
      </c>
      <c s="72">
        <f>IF('[1]Leakage Tree Data'!G161&lt;&gt;"",'[1]Leakage Tree Data'!G161,"")</f>
        <v>84.8485447141356</v>
      </c>
      <c s="72">
        <f>IF('[1]Leakage Tree Data'!H161&lt;&gt;"",'[1]Leakage Tree Data'!H161,"")</f>
        <v>61518209.9918823</v>
      </c>
      <c s="72" t="str">
        <f>IF('[1]Leakage Tree Data'!I161&lt;&gt;"",'[1]Leakage Tree Data'!I161,"")</f>
        <v>Pet</v>
      </c>
      <c s="72">
        <f>IF('[1]Leakage Tree Data'!J161&lt;&gt;"",'[1]Leakage Tree Data'!J161,"")</f>
      </c>
      <c s="72">
        <f>IF('[1]Leakage Tree Data'!K161&lt;&gt;"",'[1]Leakage Tree Data'!K161,"")</f>
      </c>
      <c s="72">
        <f>IF('[1]Leakage Tree Data'!L161&lt;&gt;"",'[1]Leakage Tree Data'!L161,"")</f>
      </c>
      <c s="72">
        <f>IF('[1]Leakage Tree Data'!M161&lt;&gt;"",'[1]Leakage Tree Data'!M161,"")</f>
      </c>
      <c s="72">
        <f>IF('[1]Leakage Tree Data'!N161&lt;&gt;"",'[1]Leakage Tree Data'!N161,"")</f>
      </c>
      <c s="72">
        <f>IF('[1]Leakage Tree Data'!O161&lt;&gt;"",'[1]Leakage Tree Data'!O161,"")</f>
      </c>
      <c s="72">
        <f>IF('[1]Leakage Tree Data'!P161&lt;&gt;"",'[1]Leakage Tree Data'!P161,"")</f>
      </c>
      <c s="72">
        <f>IF('[1]Leakage Tree Data'!Q161&lt;&gt;"",'[1]Leakage Tree Data'!Q161,"")</f>
      </c>
      <c s="72">
        <f>IF('[1]Leakage Tree Data'!R161&lt;&gt;"",'[1]Leakage Tree Data'!R161,"")</f>
        <v>1017625.85098267</v>
      </c>
      <c s="72">
        <f>IF('[1]Leakage Tree Data'!S161&lt;&gt;"",'[1]Leakage Tree Data'!S161,"")</f>
        <v>-1225974.67776489</v>
      </c>
      <c s="72">
        <f>IF('[1]Leakage Tree Data'!T161&lt;&gt;"",'[1]Leakage Tree Data'!T161,"")</f>
        <v>-1.14865777192937</v>
      </c>
      <c s="72">
        <f>IF('[1]Leakage Tree Data'!U161&lt;&gt;"",'[1]Leakage Tree Data'!U161,"")</f>
        <v>2243600.52874756</v>
      </c>
      <c s="72">
        <f>IF('[1]Leakage Tree Data'!V161&lt;&gt;"",'[1]Leakage Tree Data'!V161,"")</f>
        <v>1.14865777192938</v>
      </c>
      <c s="72">
        <f>IF('[1]Leakage Tree Data'!W161&lt;&gt;"",'[1]Leakage Tree Data'!W161,"")</f>
        <v>-1855949.2237854</v>
      </c>
      <c s="72">
        <f>IF('[1]Leakage Tree Data'!X161&lt;&gt;"",'[1]Leakage Tree Data'!X161,"")</f>
      </c>
      <c s="72">
        <f>IF('[1]Leakage Tree Data'!Y161&lt;&gt;"",'[1]Leakage Tree Data'!Y161,"")</f>
      </c>
      <c s="72">
        <f>IF('[1]Leakage Tree Data'!Z161&lt;&gt;"",'[1]Leakage Tree Data'!Z161,"")</f>
      </c>
      <c s="72">
        <f>IF('[1]Leakage Tree Data'!AA161&lt;&gt;"",'[1]Leakage Tree Data'!AA161,"")</f>
      </c>
      <c s="72">
        <f>IF('[1]Leakage Tree Data'!AB161&lt;&gt;"",'[1]Leakage Tree Data'!AB161,"")</f>
      </c>
      <c s="72">
        <f>IF('[1]Leakage Tree Data'!AC161&lt;&gt;"",'[1]Leakage Tree Data'!AC161,"")</f>
      </c>
      <c s="72">
        <f>IF('[1]Leakage Tree Data'!AD161&lt;&gt;"",'[1]Leakage Tree Data'!AD161,"")</f>
      </c>
      <c s="72">
        <f>IF('[1]Leakage Tree Data'!AE161&lt;&gt;"",'[1]Leakage Tree Data'!AE161,"")</f>
      </c>
      <c s="73">
        <f t="shared" si="164"/>
      </c>
      <c s="73">
        <f t="shared" si="165"/>
      </c>
      <c s="73">
        <f t="shared" si="166"/>
      </c>
      <c s="73">
        <f t="shared" si="167"/>
      </c>
      <c s="74">
        <f t="shared" si="168"/>
      </c>
      <c s="74">
        <f t="shared" si="169"/>
      </c>
      <c s="69" t="str">
        <f t="shared" si="170"/>
        <v>Total US - Petsmart</v>
      </c>
      <c s="69" t="str">
        <f t="shared" si="171"/>
        <v>Total US - Pet</v>
      </c>
    </row>
    <row r="263" spans="1:140" ht="15">
      <c r="A263"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141"/>
      </c>
      <c s="75">
        <f t="shared" si="142"/>
      </c>
      <c s="76">
        <f t="shared" si="143"/>
      </c>
      <c s="75">
        <f t="shared" si="144"/>
      </c>
      <c s="76">
        <f t="shared" si="145"/>
      </c>
      <c s="75">
        <f t="shared" si="146"/>
      </c>
      <c s="76">
        <f t="shared" si="147"/>
      </c>
      <c s="75">
        <f t="shared" si="148"/>
      </c>
      <c s="76">
        <f t="shared" si="149"/>
      </c>
      <c s="75">
        <f t="shared" si="150"/>
      </c>
      <c s="76">
        <f t="shared" si="151"/>
      </c>
      <c s="75">
        <f t="shared" si="152"/>
      </c>
      <c s="76">
        <f t="shared" si="153"/>
      </c>
      <c s="75">
        <f t="shared" si="154"/>
      </c>
      <c s="76">
        <f t="shared" si="155"/>
      </c>
      <c s="75">
        <f t="shared" si="156"/>
      </c>
      <c s="76">
        <f t="shared" si="157"/>
      </c>
      <c s="75">
        <f t="shared" si="158"/>
      </c>
      <c s="76">
        <f t="shared" si="159"/>
      </c>
      <c s="75">
        <f t="shared" si="160"/>
      </c>
      <c s="76">
        <f t="shared" si="161"/>
      </c>
      <c s="65" t="str">
        <f t="shared" si="162"/>
        <v>Tractor Supply Company</v>
      </c>
      <c s="65" t="str">
        <f t="shared" si="163"/>
        <v>Pet</v>
      </c>
      <c s="72" t="str">
        <f>IF('[1]Leakage Tree Data'!A162&lt;&gt;"",'[1]Leakage Tree Data'!A162,"")</f>
        <v>Total US - Tractor Supply Company</v>
      </c>
      <c s="72" t="str">
        <f>IF('[1]Leakage Tree Data'!B162&lt;&gt;"",'[1]Leakage Tree Data'!B162,"")</f>
        <v>Total US - Pet</v>
      </c>
      <c s="72">
        <f>IF('[1]Leakage Tree Data'!C162&lt;&gt;"",'[1]Leakage Tree Data'!C162,"")</f>
        <v>121171760.292236</v>
      </c>
      <c s="72">
        <f>IF('[1]Leakage Tree Data'!D162&lt;&gt;"",'[1]Leakage Tree Data'!D162,"")</f>
        <v>8003919.50128174</v>
      </c>
      <c s="72">
        <f>IF('[1]Leakage Tree Data'!E162&lt;&gt;"",'[1]Leakage Tree Data'!E162,"")</f>
        <v>6.60543304972897</v>
      </c>
      <c s="72">
        <f>IF('[1]Leakage Tree Data'!F162&lt;&gt;"",'[1]Leakage Tree Data'!F162,"")</f>
        <v>113167840.790955</v>
      </c>
      <c s="72">
        <f>IF('[1]Leakage Tree Data'!G162&lt;&gt;"",'[1]Leakage Tree Data'!G162,"")</f>
        <v>93.394566950271</v>
      </c>
      <c s="72">
        <f>IF('[1]Leakage Tree Data'!H162&lt;&gt;"",'[1]Leakage Tree Data'!H162,"")</f>
        <v>61518209.9918823</v>
      </c>
      <c s="72" t="str">
        <f>IF('[1]Leakage Tree Data'!I162&lt;&gt;"",'[1]Leakage Tree Data'!I162,"")</f>
        <v>Pet</v>
      </c>
      <c s="72">
        <f>IF('[1]Leakage Tree Data'!J162&lt;&gt;"",'[1]Leakage Tree Data'!J162,"")</f>
      </c>
      <c s="72">
        <f>IF('[1]Leakage Tree Data'!K162&lt;&gt;"",'[1]Leakage Tree Data'!K162,"")</f>
      </c>
      <c s="72">
        <f>IF('[1]Leakage Tree Data'!L162&lt;&gt;"",'[1]Leakage Tree Data'!L162,"")</f>
      </c>
      <c s="72">
        <f>IF('[1]Leakage Tree Data'!M162&lt;&gt;"",'[1]Leakage Tree Data'!M162,"")</f>
      </c>
      <c s="72">
        <f>IF('[1]Leakage Tree Data'!N162&lt;&gt;"",'[1]Leakage Tree Data'!N162,"")</f>
      </c>
      <c s="72">
        <f>IF('[1]Leakage Tree Data'!O162&lt;&gt;"",'[1]Leakage Tree Data'!O162,"")</f>
      </c>
      <c s="72">
        <f>IF('[1]Leakage Tree Data'!P162&lt;&gt;"",'[1]Leakage Tree Data'!P162,"")</f>
      </c>
      <c s="72">
        <f>IF('[1]Leakage Tree Data'!Q162&lt;&gt;"",'[1]Leakage Tree Data'!Q162,"")</f>
      </c>
      <c s="72">
        <f>IF('[1]Leakage Tree Data'!R162&lt;&gt;"",'[1]Leakage Tree Data'!R162,"")</f>
        <v>1017625.85098267</v>
      </c>
      <c s="72">
        <f>IF('[1]Leakage Tree Data'!S162&lt;&gt;"",'[1]Leakage Tree Data'!S162,"")</f>
        <v>280871.321807861</v>
      </c>
      <c s="72">
        <f>IF('[1]Leakage Tree Data'!T162&lt;&gt;"",'[1]Leakage Tree Data'!T162,"")</f>
        <v>0.177815543774673</v>
      </c>
      <c s="72">
        <f>IF('[1]Leakage Tree Data'!U162&lt;&gt;"",'[1]Leakage Tree Data'!U162,"")</f>
        <v>736754.529174805</v>
      </c>
      <c s="72">
        <f>IF('[1]Leakage Tree Data'!V162&lt;&gt;"",'[1]Leakage Tree Data'!V162,"")</f>
        <v>-0.177815543774685</v>
      </c>
      <c s="72">
        <f>IF('[1]Leakage Tree Data'!W162&lt;&gt;"",'[1]Leakage Tree Data'!W162,"")</f>
        <v>-1855949.2237854</v>
      </c>
      <c s="72">
        <f>IF('[1]Leakage Tree Data'!X162&lt;&gt;"",'[1]Leakage Tree Data'!X162,"")</f>
      </c>
      <c s="72">
        <f>IF('[1]Leakage Tree Data'!Y162&lt;&gt;"",'[1]Leakage Tree Data'!Y162,"")</f>
      </c>
      <c s="72">
        <f>IF('[1]Leakage Tree Data'!Z162&lt;&gt;"",'[1]Leakage Tree Data'!Z162,"")</f>
      </c>
      <c s="72">
        <f>IF('[1]Leakage Tree Data'!AA162&lt;&gt;"",'[1]Leakage Tree Data'!AA162,"")</f>
      </c>
      <c s="72">
        <f>IF('[1]Leakage Tree Data'!AB162&lt;&gt;"",'[1]Leakage Tree Data'!AB162,"")</f>
      </c>
      <c s="72">
        <f>IF('[1]Leakage Tree Data'!AC162&lt;&gt;"",'[1]Leakage Tree Data'!AC162,"")</f>
      </c>
      <c s="72">
        <f>IF('[1]Leakage Tree Data'!AD162&lt;&gt;"",'[1]Leakage Tree Data'!AD162,"")</f>
      </c>
      <c s="72">
        <f>IF('[1]Leakage Tree Data'!AE162&lt;&gt;"",'[1]Leakage Tree Data'!AE162,"")</f>
      </c>
      <c s="73">
        <f t="shared" si="164"/>
      </c>
      <c s="73">
        <f t="shared" si="165"/>
      </c>
      <c s="73">
        <f t="shared" si="166"/>
      </c>
      <c s="73">
        <f t="shared" si="167"/>
      </c>
      <c s="74">
        <f t="shared" si="168"/>
      </c>
      <c s="74">
        <f t="shared" si="169"/>
      </c>
      <c s="69" t="str">
        <f t="shared" si="170"/>
        <v>Total US - Tractor Supply Company</v>
      </c>
      <c s="69" t="str">
        <f t="shared" si="171"/>
        <v>Total US - Pet</v>
      </c>
    </row>
    <row r="264" spans="1:140" ht="15">
      <c r="A264"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141"/>
      </c>
      <c s="75">
        <f t="shared" si="142"/>
        <v>9705934.69263077</v>
      </c>
      <c s="76">
        <f t="shared" si="143"/>
        <v>4</v>
      </c>
      <c s="75">
        <f t="shared" si="144"/>
      </c>
      <c s="76">
        <f t="shared" si="145"/>
      </c>
      <c s="75">
        <f t="shared" si="146"/>
      </c>
      <c s="76">
        <f t="shared" si="147"/>
      </c>
      <c s="75">
        <f t="shared" si="148"/>
      </c>
      <c s="76">
        <f t="shared" si="149"/>
      </c>
      <c s="75">
        <f t="shared" si="150"/>
      </c>
      <c s="76">
        <f t="shared" si="151"/>
      </c>
      <c s="75">
        <f t="shared" si="152"/>
        <v>32021384.8136935</v>
      </c>
      <c s="76">
        <f t="shared" si="153"/>
        <v>4</v>
      </c>
      <c s="75">
        <f t="shared" si="154"/>
      </c>
      <c s="76">
        <f t="shared" si="155"/>
      </c>
      <c s="75">
        <f t="shared" si="156"/>
      </c>
      <c s="76">
        <f t="shared" si="157"/>
      </c>
      <c s="75">
        <f t="shared" si="158"/>
      </c>
      <c s="76">
        <f t="shared" si="159"/>
      </c>
      <c s="75">
        <f t="shared" si="160"/>
      </c>
      <c s="76">
        <f t="shared" si="161"/>
      </c>
      <c s="65" t="str">
        <f t="shared" si="162"/>
        <v>Specialty Stores</v>
      </c>
      <c s="65" t="str">
        <f t="shared" si="163"/>
        <v>Specialty Stores</v>
      </c>
      <c s="72" t="str">
        <f>IF('[1]Leakage Tree Data'!A163&lt;&gt;"",'[1]Leakage Tree Data'!A163,"")</f>
        <v>Total US - Specialty Stores</v>
      </c>
      <c s="72" t="str">
        <f>IF('[1]Leakage Tree Data'!B163&lt;&gt;"",'[1]Leakage Tree Data'!B163,"")</f>
        <v>Total US - Specialty Stores</v>
      </c>
      <c s="72">
        <f>IF('[1]Leakage Tree Data'!C163&lt;&gt;"",'[1]Leakage Tree Data'!C163,"")</f>
        <v>121171760.292236</v>
      </c>
      <c s="72">
        <f>IF('[1]Leakage Tree Data'!D163&lt;&gt;"",'[1]Leakage Tree Data'!D163,"")</f>
        <v>108365268.113892</v>
      </c>
      <c s="72">
        <f>IF('[1]Leakage Tree Data'!E163&lt;&gt;"",'[1]Leakage Tree Data'!E163,"")</f>
        <v>89.4311247542673</v>
      </c>
      <c s="72">
        <f>IF('[1]Leakage Tree Data'!F163&lt;&gt;"",'[1]Leakage Tree Data'!F163,"")</f>
        <v>12806492.1783447</v>
      </c>
      <c s="72">
        <f>IF('[1]Leakage Tree Data'!G163&lt;&gt;"",'[1]Leakage Tree Data'!G163,"")</f>
        <v>10.5688752457327</v>
      </c>
      <c s="72">
        <f>IF('[1]Leakage Tree Data'!H163&lt;&gt;"",'[1]Leakage Tree Data'!H163,"")</f>
        <v>61518209.9918823</v>
      </c>
      <c s="72" t="str">
        <f>IF('[1]Leakage Tree Data'!I163&lt;&gt;"",'[1]Leakage Tree Data'!I163,"")</f>
        <v>Specialty Stores</v>
      </c>
      <c s="72">
        <f>IF('[1]Leakage Tree Data'!J163&lt;&gt;"",'[1]Leakage Tree Data'!J163,"")</f>
        <v>93.1259299153081</v>
      </c>
      <c s="72">
        <f>IF('[1]Leakage Tree Data'!K163&lt;&gt;"",'[1]Leakage Tree Data'!K163,"")</f>
        <v>4228804.86968994</v>
      </c>
      <c s="72">
        <f>IF('[1]Leakage Tree Data'!L163&lt;&gt;"",'[1]Leakage Tree Data'!L163,"")</f>
        <v>9705934.69263077</v>
      </c>
      <c s="72">
        <f>IF('[1]Leakage Tree Data'!M163&lt;&gt;"",'[1]Leakage Tree Data'!M163,"")</f>
        <v>32021384.8136935</v>
      </c>
      <c s="72">
        <f>IF('[1]Leakage Tree Data'!N163&lt;&gt;"",'[1]Leakage Tree Data'!N163,"")</f>
        <v>9705934.69263077</v>
      </c>
      <c s="72">
        <f>IF('[1]Leakage Tree Data'!O163&lt;&gt;"",'[1]Leakage Tree Data'!O163,"")</f>
        <v>7.31757626367684</v>
      </c>
      <c s="72">
        <f>IF('[1]Leakage Tree Data'!P163&lt;&gt;"",'[1]Leakage Tree Data'!P163,"")</f>
        <v>11972146.6371711</v>
      </c>
      <c s="72">
        <f>IF('[1]Leakage Tree Data'!Q163&lt;&gt;"",'[1]Leakage Tree Data'!Q163,"")</f>
      </c>
      <c s="72">
        <f>IF('[1]Leakage Tree Data'!R163&lt;&gt;"",'[1]Leakage Tree Data'!R163,"")</f>
        <v>1017625.85098267</v>
      </c>
      <c s="72">
        <f>IF('[1]Leakage Tree Data'!S163&lt;&gt;"",'[1]Leakage Tree Data'!S163,"")</f>
        <v>-1290689.20687866</v>
      </c>
      <c s="72">
        <f>IF('[1]Leakage Tree Data'!T163&lt;&gt;"",'[1]Leakage Tree Data'!T163,"")</f>
        <v>-1.83161691558658</v>
      </c>
      <c s="72">
        <f>IF('[1]Leakage Tree Data'!U163&lt;&gt;"",'[1]Leakage Tree Data'!U163,"")</f>
        <v>2308315.05786133</v>
      </c>
      <c s="72">
        <f>IF('[1]Leakage Tree Data'!V163&lt;&gt;"",'[1]Leakage Tree Data'!V163,"")</f>
        <v>1.83161691558658</v>
      </c>
      <c s="72">
        <f>IF('[1]Leakage Tree Data'!W163&lt;&gt;"",'[1]Leakage Tree Data'!W163,"")</f>
        <v>-1855949.2237854</v>
      </c>
      <c s="72">
        <f>IF('[1]Leakage Tree Data'!X163&lt;&gt;"",'[1]Leakage Tree Data'!X163,"")</f>
      </c>
      <c s="72">
        <f>IF('[1]Leakage Tree Data'!Y163&lt;&gt;"",'[1]Leakage Tree Data'!Y163,"")</f>
        <v>0.646847733846855</v>
      </c>
      <c s="72">
        <f>IF('[1]Leakage Tree Data'!Z163&lt;&gt;"",'[1]Leakage Tree Data'!Z163,"")</f>
        <v>-537513.563110352</v>
      </c>
      <c s="72">
        <f>IF('[1]Leakage Tree Data'!AA163&lt;&gt;"",'[1]Leakage Tree Data'!AA163,"")</f>
        <v>-2086119.17891598</v>
      </c>
      <c s="72">
        <f>IF('[1]Leakage Tree Data'!AB163&lt;&gt;"",'[1]Leakage Tree Data'!AB163,"")</f>
        <v>-1306891.42715931</v>
      </c>
      <c s="72">
        <f>IF('[1]Leakage Tree Data'!AC163&lt;&gt;"",'[1]Leakage Tree Data'!AC163,"")</f>
        <v>-2086119.17891598</v>
      </c>
      <c s="72">
        <f>IF('[1]Leakage Tree Data'!AD163&lt;&gt;"",'[1]Leakage Tree Data'!AD163,"")</f>
        <v>-0.641455963386476</v>
      </c>
      <c s="72">
        <f>IF('[1]Leakage Tree Data'!AE163&lt;&gt;"",'[1]Leakage Tree Data'!AE163,"")</f>
      </c>
      <c s="73">
        <f t="shared" si="164"/>
        <v>32021384.8136935</v>
      </c>
      <c s="73">
        <f t="shared" si="165"/>
        <v>9705934.69263077</v>
      </c>
      <c s="73">
        <f t="shared" si="166"/>
        <v>-1306891.42715931</v>
      </c>
      <c s="73">
        <f t="shared" si="167"/>
        <v>-2086119.17891598</v>
      </c>
      <c s="74">
        <f t="shared" si="168"/>
        <v>0.000128186075895102</v>
      </c>
      <c s="74">
        <f t="shared" si="169"/>
        <v>-0.000167408004312973</v>
      </c>
      <c s="69" t="str">
        <f t="shared" si="170"/>
        <v>Total US - Specialty Stores</v>
      </c>
      <c s="69" t="str">
        <f t="shared" si="171"/>
        <v>Total US - Specialty Stores</v>
      </c>
    </row>
    <row r="265" spans="1:140" ht="15">
      <c r="A265"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141"/>
      </c>
      <c s="75">
        <f t="shared" si="142"/>
      </c>
      <c s="76">
        <f t="shared" si="143"/>
      </c>
      <c s="75">
        <f t="shared" si="144"/>
      </c>
      <c s="76">
        <f t="shared" si="145"/>
      </c>
      <c s="75">
        <f t="shared" si="146"/>
      </c>
      <c s="76">
        <f t="shared" si="147"/>
      </c>
      <c s="75">
        <f t="shared" si="148"/>
      </c>
      <c s="76">
        <f t="shared" si="149"/>
      </c>
      <c s="75">
        <f t="shared" si="150"/>
      </c>
      <c s="76">
        <f t="shared" si="151"/>
      </c>
      <c s="75">
        <f t="shared" si="152"/>
      </c>
      <c s="76">
        <f t="shared" si="153"/>
      </c>
      <c s="75">
        <f t="shared" si="154"/>
      </c>
      <c s="76">
        <f t="shared" si="155"/>
      </c>
      <c s="75">
        <f t="shared" si="156"/>
      </c>
      <c s="76">
        <f t="shared" si="157"/>
      </c>
      <c s="75">
        <f t="shared" si="158"/>
      </c>
      <c s="76">
        <f t="shared" si="159"/>
      </c>
      <c s="75">
        <f t="shared" si="160"/>
        <v>204119.599936485</v>
      </c>
      <c s="76">
        <f t="shared" si="161"/>
        <v>22</v>
      </c>
      <c s="65" t="str">
        <f t="shared" si="162"/>
        <v>Bed Bath &amp; Beyond</v>
      </c>
      <c s="65" t="str">
        <f t="shared" si="163"/>
        <v>Specialty Stores</v>
      </c>
      <c s="72" t="str">
        <f>IF('[1]Leakage Tree Data'!A164&lt;&gt;"",'[1]Leakage Tree Data'!A164,"")</f>
        <v>Total US - Bed Bath &amp; Beyond</v>
      </c>
      <c s="72" t="str">
        <f>IF('[1]Leakage Tree Data'!B164&lt;&gt;"",'[1]Leakage Tree Data'!B164,"")</f>
        <v>Total US - Specialty Stores</v>
      </c>
      <c s="72">
        <f>IF('[1]Leakage Tree Data'!C164&lt;&gt;"",'[1]Leakage Tree Data'!C164,"")</f>
        <v>121171760.292236</v>
      </c>
      <c s="72">
        <f>IF('[1]Leakage Tree Data'!D164&lt;&gt;"",'[1]Leakage Tree Data'!D164,"")</f>
        <v>27206122.8131714</v>
      </c>
      <c s="72">
        <f>IF('[1]Leakage Tree Data'!E164&lt;&gt;"",'[1]Leakage Tree Data'!E164,"")</f>
        <v>22.4525275093445</v>
      </c>
      <c s="72">
        <f>IF('[1]Leakage Tree Data'!F164&lt;&gt;"",'[1]Leakage Tree Data'!F164,"")</f>
        <v>93965637.4790649</v>
      </c>
      <c s="72">
        <f>IF('[1]Leakage Tree Data'!G164&lt;&gt;"",'[1]Leakage Tree Data'!G164,"")</f>
        <v>77.5474724906555</v>
      </c>
      <c s="72">
        <f>IF('[1]Leakage Tree Data'!H164&lt;&gt;"",'[1]Leakage Tree Data'!H164,"")</f>
        <v>61518209.9918823</v>
      </c>
      <c s="72" t="str">
        <f>IF('[1]Leakage Tree Data'!I164&lt;&gt;"",'[1]Leakage Tree Data'!I164,"")</f>
        <v>Specialty Stores</v>
      </c>
      <c s="72">
        <f>IF('[1]Leakage Tree Data'!J164&lt;&gt;"",'[1]Leakage Tree Data'!J164,"")</f>
        <v>99.6707890670723</v>
      </c>
      <c s="72">
        <f>IF('[1]Leakage Tree Data'!K164&lt;&gt;"",'[1]Leakage Tree Data'!K164,"")</f>
        <v>202524.673034668</v>
      </c>
      <c s="72">
        <f>IF('[1]Leakage Tree Data'!L164&lt;&gt;"",'[1]Leakage Tree Data'!L164,"")</f>
      </c>
      <c s="72">
        <f>IF('[1]Leakage Tree Data'!M164&lt;&gt;"",'[1]Leakage Tree Data'!M164,"")</f>
        <v>204119.599936485</v>
      </c>
      <c s="72">
        <f>IF('[1]Leakage Tree Data'!N164&lt;&gt;"",'[1]Leakage Tree Data'!N164,"")</f>
      </c>
      <c s="72">
        <f>IF('[1]Leakage Tree Data'!O164&lt;&gt;"",'[1]Leakage Tree Data'!O164,"")</f>
        <v>1.05059917500096</v>
      </c>
      <c s="72">
        <f>IF('[1]Leakage Tree Data'!P164&lt;&gt;"",'[1]Leakage Tree Data'!P164,"")</f>
        <v>3159315.1795945</v>
      </c>
      <c s="72">
        <f>IF('[1]Leakage Tree Data'!Q164&lt;&gt;"",'[1]Leakage Tree Data'!Q164,"")</f>
      </c>
      <c s="72">
        <f>IF('[1]Leakage Tree Data'!R164&lt;&gt;"",'[1]Leakage Tree Data'!R164,"")</f>
        <v>1017625.85098267</v>
      </c>
      <c s="72">
        <f>IF('[1]Leakage Tree Data'!S164&lt;&gt;"",'[1]Leakage Tree Data'!S164,"")</f>
        <v>-1295763.21151733</v>
      </c>
      <c s="72">
        <f>IF('[1]Leakage Tree Data'!T164&lt;&gt;"",'[1]Leakage Tree Data'!T164,"")</f>
        <v>-1.26857551988497</v>
      </c>
      <c s="72">
        <f>IF('[1]Leakage Tree Data'!U164&lt;&gt;"",'[1]Leakage Tree Data'!U164,"")</f>
        <v>2313389.0625</v>
      </c>
      <c s="72">
        <f>IF('[1]Leakage Tree Data'!V164&lt;&gt;"",'[1]Leakage Tree Data'!V164,"")</f>
        <v>1.26857551988496</v>
      </c>
      <c s="72">
        <f>IF('[1]Leakage Tree Data'!W164&lt;&gt;"",'[1]Leakage Tree Data'!W164,"")</f>
        <v>-1855949.2237854</v>
      </c>
      <c s="72">
        <f>IF('[1]Leakage Tree Data'!X164&lt;&gt;"",'[1]Leakage Tree Data'!X164,"")</f>
      </c>
      <c s="72">
        <f>IF('[1]Leakage Tree Data'!Y164&lt;&gt;"",'[1]Leakage Tree Data'!Y164,"")</f>
        <v>0.106977100588679</v>
      </c>
      <c s="72">
        <f>IF('[1]Leakage Tree Data'!Z164&lt;&gt;"",'[1]Leakage Tree Data'!Z164,"")</f>
        <v>-73905.8258056641</v>
      </c>
      <c s="72">
        <f>IF('[1]Leakage Tree Data'!AA164&lt;&gt;"",'[1]Leakage Tree Data'!AA164,"")</f>
      </c>
      <c s="72">
        <f>IF('[1]Leakage Tree Data'!AB164&lt;&gt;"",'[1]Leakage Tree Data'!AB164,"")</f>
        <v>-81741.0741181374</v>
      </c>
      <c s="72">
        <f>IF('[1]Leakage Tree Data'!AC164&lt;&gt;"",'[1]Leakage Tree Data'!AC164,"")</f>
      </c>
      <c s="72">
        <f>IF('[1]Leakage Tree Data'!AD164&lt;&gt;"",'[1]Leakage Tree Data'!AD164,"")</f>
        <v>-0.340569569905068</v>
      </c>
      <c s="72">
        <f>IF('[1]Leakage Tree Data'!AE164&lt;&gt;"",'[1]Leakage Tree Data'!AE164,"")</f>
      </c>
      <c s="73">
        <f t="shared" si="164"/>
      </c>
      <c s="73">
        <f t="shared" si="165"/>
      </c>
      <c s="73">
        <f t="shared" si="166"/>
      </c>
      <c s="73">
        <f t="shared" si="167"/>
      </c>
      <c s="74">
        <f t="shared" si="168"/>
      </c>
      <c s="74">
        <f t="shared" si="169"/>
      </c>
      <c s="69" t="str">
        <f t="shared" si="170"/>
        <v>Total US - Bed Bath &amp; Beyond</v>
      </c>
      <c s="69" t="str">
        <f t="shared" si="171"/>
        <v>Total US - Specialty Stores</v>
      </c>
    </row>
    <row r="266" spans="1:140" ht="15">
      <c r="A266"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141"/>
      </c>
      <c s="75">
        <f t="shared" si="142"/>
      </c>
      <c s="76">
        <f t="shared" si="143"/>
      </c>
      <c s="75">
        <f t="shared" si="144"/>
      </c>
      <c s="76">
        <f t="shared" si="145"/>
      </c>
      <c s="75">
        <f t="shared" si="146"/>
      </c>
      <c s="76">
        <f t="shared" si="147"/>
      </c>
      <c s="75">
        <f t="shared" si="148"/>
      </c>
      <c s="76">
        <f t="shared" si="149"/>
      </c>
      <c s="75">
        <f t="shared" si="150"/>
        <v>6026270.18945503</v>
      </c>
      <c s="76">
        <f t="shared" si="151"/>
        <v>6</v>
      </c>
      <c s="75">
        <f t="shared" si="152"/>
      </c>
      <c s="76">
        <f t="shared" si="153"/>
      </c>
      <c s="75">
        <f t="shared" si="154"/>
      </c>
      <c s="76">
        <f t="shared" si="155"/>
      </c>
      <c s="75">
        <f t="shared" si="156"/>
      </c>
      <c s="76">
        <f t="shared" si="157"/>
      </c>
      <c s="75">
        <f t="shared" si="158"/>
      </c>
      <c s="76">
        <f t="shared" si="159"/>
      </c>
      <c s="75">
        <f t="shared" si="160"/>
        <v>15598401.8228078</v>
      </c>
      <c s="76">
        <f t="shared" si="161"/>
        <v>8</v>
      </c>
      <c s="65" t="str">
        <f t="shared" si="162"/>
        <v>Big Lots</v>
      </c>
      <c s="65" t="str">
        <f t="shared" si="163"/>
        <v>Specialty Stores</v>
      </c>
      <c s="72" t="str">
        <f>IF('[1]Leakage Tree Data'!A165&lt;&gt;"",'[1]Leakage Tree Data'!A165,"")</f>
        <v>Total US - Big Lots</v>
      </c>
      <c s="72" t="str">
        <f>IF('[1]Leakage Tree Data'!B165&lt;&gt;"",'[1]Leakage Tree Data'!B165,"")</f>
        <v>Total US - Specialty Stores</v>
      </c>
      <c s="72">
        <f>IF('[1]Leakage Tree Data'!C165&lt;&gt;"",'[1]Leakage Tree Data'!C165,"")</f>
        <v>121171760.292236</v>
      </c>
      <c s="72">
        <f>IF('[1]Leakage Tree Data'!D165&lt;&gt;"",'[1]Leakage Tree Data'!D165,"")</f>
        <v>25173922.763031</v>
      </c>
      <c s="72">
        <f>IF('[1]Leakage Tree Data'!E165&lt;&gt;"",'[1]Leakage Tree Data'!E165,"")</f>
        <v>20.7754040234439</v>
      </c>
      <c s="72">
        <f>IF('[1]Leakage Tree Data'!F165&lt;&gt;"",'[1]Leakage Tree Data'!F165,"")</f>
        <v>95997837.5292053</v>
      </c>
      <c s="72">
        <f>IF('[1]Leakage Tree Data'!G165&lt;&gt;"",'[1]Leakage Tree Data'!G165,"")</f>
        <v>79.2245959765561</v>
      </c>
      <c s="72">
        <f>IF('[1]Leakage Tree Data'!H165&lt;&gt;"",'[1]Leakage Tree Data'!H165,"")</f>
        <v>61518209.9918823</v>
      </c>
      <c s="72" t="str">
        <f>IF('[1]Leakage Tree Data'!I165&lt;&gt;"",'[1]Leakage Tree Data'!I165,"")</f>
        <v>Specialty Stores</v>
      </c>
      <c s="72">
        <f>IF('[1]Leakage Tree Data'!J165&lt;&gt;"",'[1]Leakage Tree Data'!J165,"")</f>
        <v>96.6505926600777</v>
      </c>
      <c s="72">
        <f>IF('[1]Leakage Tree Data'!K165&lt;&gt;"",'[1]Leakage Tree Data'!K165,"")</f>
        <v>2060495.44085693</v>
      </c>
      <c s="72">
        <f>IF('[1]Leakage Tree Data'!L165&lt;&gt;"",'[1]Leakage Tree Data'!L165,"")</f>
        <v>6026270.18945503</v>
      </c>
      <c s="72">
        <f>IF('[1]Leakage Tree Data'!M165&lt;&gt;"",'[1]Leakage Tree Data'!M165,"")</f>
        <v>15598401.8228078</v>
      </c>
      <c s="72">
        <f>IF('[1]Leakage Tree Data'!N165&lt;&gt;"",'[1]Leakage Tree Data'!N165,"")</f>
        <v>6026270.18945503</v>
      </c>
      <c s="72">
        <f>IF('[1]Leakage Tree Data'!O165&lt;&gt;"",'[1]Leakage Tree Data'!O165,"")</f>
        <v>13.8396064881875</v>
      </c>
      <c s="72">
        <f>IF('[1]Leakage Tree Data'!P165&lt;&gt;"",'[1]Leakage Tree Data'!P165,"")</f>
        <v>2325334.7991042</v>
      </c>
      <c s="72">
        <f>IF('[1]Leakage Tree Data'!Q165&lt;&gt;"",'[1]Leakage Tree Data'!Q165,"")</f>
      </c>
      <c s="72">
        <f>IF('[1]Leakage Tree Data'!R165&lt;&gt;"",'[1]Leakage Tree Data'!R165,"")</f>
        <v>1017625.85098267</v>
      </c>
      <c s="72">
        <f>IF('[1]Leakage Tree Data'!S165&lt;&gt;"",'[1]Leakage Tree Data'!S165,"")</f>
        <v>-1753866.53997803</v>
      </c>
      <c s="72">
        <f>IF('[1]Leakage Tree Data'!T165&lt;&gt;"",'[1]Leakage Tree Data'!T165,"")</f>
        <v>-1.63563445494883</v>
      </c>
      <c s="72">
        <f>IF('[1]Leakage Tree Data'!U165&lt;&gt;"",'[1]Leakage Tree Data'!U165,"")</f>
        <v>2771492.39096069</v>
      </c>
      <c s="72">
        <f>IF('[1]Leakage Tree Data'!V165&lt;&gt;"",'[1]Leakage Tree Data'!V165,"")</f>
        <v>1.63563445494883</v>
      </c>
      <c s="72">
        <f>IF('[1]Leakage Tree Data'!W165&lt;&gt;"",'[1]Leakage Tree Data'!W165,"")</f>
        <v>-1855949.2237854</v>
      </c>
      <c s="72">
        <f>IF('[1]Leakage Tree Data'!X165&lt;&gt;"",'[1]Leakage Tree Data'!X165,"")</f>
      </c>
      <c s="72">
        <f>IF('[1]Leakage Tree Data'!Y165&lt;&gt;"",'[1]Leakage Tree Data'!Y165,"")</f>
        <v>0.145578043381676</v>
      </c>
      <c s="72">
        <f>IF('[1]Leakage Tree Data'!Z165&lt;&gt;"",'[1]Leakage Tree Data'!Z165,"")</f>
        <v>-154422.160522461</v>
      </c>
      <c s="72">
        <f>IF('[1]Leakage Tree Data'!AA165&lt;&gt;"",'[1]Leakage Tree Data'!AA165,"")</f>
        <v>-665427.471364975</v>
      </c>
      <c s="72">
        <f>IF('[1]Leakage Tree Data'!AB165&lt;&gt;"",'[1]Leakage Tree Data'!AB165,"")</f>
        <v>-3342279.69213247</v>
      </c>
      <c s="72">
        <f>IF('[1]Leakage Tree Data'!AC165&lt;&gt;"",'[1]Leakage Tree Data'!AC165,"")</f>
        <v>-665427.471364975</v>
      </c>
      <c s="72">
        <f>IF('[1]Leakage Tree Data'!AD165&lt;&gt;"",'[1]Leakage Tree Data'!AD165,"")</f>
        <v>0.317144792388563</v>
      </c>
      <c s="72">
        <f>IF('[1]Leakage Tree Data'!AE165&lt;&gt;"",'[1]Leakage Tree Data'!AE165,"")</f>
      </c>
      <c s="73">
        <f t="shared" si="164"/>
      </c>
      <c s="73">
        <f t="shared" si="165"/>
      </c>
      <c s="73">
        <f t="shared" si="166"/>
      </c>
      <c s="73">
        <f t="shared" si="167"/>
      </c>
      <c s="74">
        <f t="shared" si="168"/>
      </c>
      <c s="74">
        <f t="shared" si="169"/>
      </c>
      <c s="69" t="str">
        <f t="shared" si="170"/>
        <v>Total US - Big Lots</v>
      </c>
      <c s="69" t="str">
        <f t="shared" si="171"/>
        <v>Total US - Specialty Stores</v>
      </c>
    </row>
    <row r="267" spans="1:140" ht="15">
      <c r="A267"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141"/>
      </c>
      <c s="75">
        <f t="shared" si="142"/>
      </c>
      <c s="76">
        <f t="shared" si="143"/>
      </c>
      <c s="75">
        <f t="shared" si="144"/>
      </c>
      <c s="76">
        <f t="shared" si="145"/>
      </c>
      <c s="75">
        <f t="shared" si="146"/>
      </c>
      <c s="76">
        <f t="shared" si="147"/>
      </c>
      <c s="75">
        <f t="shared" si="148"/>
      </c>
      <c s="76">
        <f t="shared" si="149"/>
      </c>
      <c s="75">
        <f t="shared" si="150"/>
      </c>
      <c s="76">
        <f t="shared" si="151"/>
      </c>
      <c s="75">
        <f t="shared" si="152"/>
      </c>
      <c s="76">
        <f t="shared" si="153"/>
      </c>
      <c s="75">
        <f t="shared" si="154"/>
      </c>
      <c s="76">
        <f t="shared" si="155"/>
      </c>
      <c s="75">
        <f t="shared" si="156"/>
      </c>
      <c s="76">
        <f t="shared" si="157"/>
      </c>
      <c s="75">
        <f t="shared" si="158"/>
      </c>
      <c s="76">
        <f t="shared" si="159"/>
      </c>
      <c s="75">
        <f t="shared" si="160"/>
      </c>
      <c s="76">
        <f t="shared" si="161"/>
      </c>
      <c s="65" t="str">
        <f t="shared" si="162"/>
        <v>Cost Plus World Market</v>
      </c>
      <c s="65" t="str">
        <f t="shared" si="163"/>
        <v>Specialty Stores</v>
      </c>
      <c s="72" t="str">
        <f>IF('[1]Leakage Tree Data'!A166&lt;&gt;"",'[1]Leakage Tree Data'!A166,"")</f>
        <v>Total US - Cost Plus World Market</v>
      </c>
      <c s="72" t="str">
        <f>IF('[1]Leakage Tree Data'!B166&lt;&gt;"",'[1]Leakage Tree Data'!B166,"")</f>
        <v>Total US - Specialty Stores</v>
      </c>
      <c s="72">
        <f>IF('[1]Leakage Tree Data'!C166&lt;&gt;"",'[1]Leakage Tree Data'!C166,"")</f>
        <v>121171760.292236</v>
      </c>
      <c s="72">
        <f>IF('[1]Leakage Tree Data'!D166&lt;&gt;"",'[1]Leakage Tree Data'!D166,"")</f>
        <v>3773851.12518311</v>
      </c>
      <c s="72">
        <f>IF('[1]Leakage Tree Data'!E166&lt;&gt;"",'[1]Leakage Tree Data'!E166,"")</f>
        <v>3.11446422506491</v>
      </c>
      <c s="72">
        <f>IF('[1]Leakage Tree Data'!F166&lt;&gt;"",'[1]Leakage Tree Data'!F166,"")</f>
        <v>117397909.167053</v>
      </c>
      <c s="72">
        <f>IF('[1]Leakage Tree Data'!G166&lt;&gt;"",'[1]Leakage Tree Data'!G166,"")</f>
        <v>96.8855357749351</v>
      </c>
      <c s="72">
        <f>IF('[1]Leakage Tree Data'!H166&lt;&gt;"",'[1]Leakage Tree Data'!H166,"")</f>
        <v>61518209.9918823</v>
      </c>
      <c s="72" t="str">
        <f>IF('[1]Leakage Tree Data'!I166&lt;&gt;"",'[1]Leakage Tree Data'!I166,"")</f>
        <v>Specialty Stores</v>
      </c>
      <c s="72">
        <f>IF('[1]Leakage Tree Data'!J166&lt;&gt;"",'[1]Leakage Tree Data'!J166,"")</f>
      </c>
      <c s="72">
        <f>IF('[1]Leakage Tree Data'!K166&lt;&gt;"",'[1]Leakage Tree Data'!K166,"")</f>
      </c>
      <c s="72">
        <f>IF('[1]Leakage Tree Data'!L166&lt;&gt;"",'[1]Leakage Tree Data'!L166,"")</f>
      </c>
      <c s="72">
        <f>IF('[1]Leakage Tree Data'!M166&lt;&gt;"",'[1]Leakage Tree Data'!M166,"")</f>
      </c>
      <c s="72">
        <f>IF('[1]Leakage Tree Data'!N166&lt;&gt;"",'[1]Leakage Tree Data'!N166,"")</f>
      </c>
      <c s="72">
        <f>IF('[1]Leakage Tree Data'!O166&lt;&gt;"",'[1]Leakage Tree Data'!O166,"")</f>
      </c>
      <c s="72">
        <f>IF('[1]Leakage Tree Data'!P166&lt;&gt;"",'[1]Leakage Tree Data'!P166,"")</f>
      </c>
      <c s="72">
        <f>IF('[1]Leakage Tree Data'!Q166&lt;&gt;"",'[1]Leakage Tree Data'!Q166,"")</f>
      </c>
      <c s="72">
        <f>IF('[1]Leakage Tree Data'!R166&lt;&gt;"",'[1]Leakage Tree Data'!R166,"")</f>
        <v>1017625.85098267</v>
      </c>
      <c s="72">
        <f>IF('[1]Leakage Tree Data'!S166&lt;&gt;"",'[1]Leakage Tree Data'!S166,"")</f>
        <v>-148233.384613037</v>
      </c>
      <c s="72">
        <f>IF('[1]Leakage Tree Data'!T166&lt;&gt;"",'[1]Leakage Tree Data'!T166,"")</f>
        <v>-0.149746805237797</v>
      </c>
      <c s="72">
        <f>IF('[1]Leakage Tree Data'!U166&lt;&gt;"",'[1]Leakage Tree Data'!U166,"")</f>
        <v>1165859.2355957</v>
      </c>
      <c s="72">
        <f>IF('[1]Leakage Tree Data'!V166&lt;&gt;"",'[1]Leakage Tree Data'!V166,"")</f>
        <v>0.149746805237797</v>
      </c>
      <c s="72">
        <f>IF('[1]Leakage Tree Data'!W166&lt;&gt;"",'[1]Leakage Tree Data'!W166,"")</f>
        <v>-1855949.2237854</v>
      </c>
      <c s="72">
        <f>IF('[1]Leakage Tree Data'!X166&lt;&gt;"",'[1]Leakage Tree Data'!X166,"")</f>
      </c>
      <c s="72">
        <f>IF('[1]Leakage Tree Data'!Y166&lt;&gt;"",'[1]Leakage Tree Data'!Y166,"")</f>
      </c>
      <c s="72">
        <f>IF('[1]Leakage Tree Data'!Z166&lt;&gt;"",'[1]Leakage Tree Data'!Z166,"")</f>
      </c>
      <c s="72">
        <f>IF('[1]Leakage Tree Data'!AA166&lt;&gt;"",'[1]Leakage Tree Data'!AA166,"")</f>
      </c>
      <c s="72">
        <f>IF('[1]Leakage Tree Data'!AB166&lt;&gt;"",'[1]Leakage Tree Data'!AB166,"")</f>
      </c>
      <c s="72">
        <f>IF('[1]Leakage Tree Data'!AC166&lt;&gt;"",'[1]Leakage Tree Data'!AC166,"")</f>
      </c>
      <c s="72">
        <f>IF('[1]Leakage Tree Data'!AD166&lt;&gt;"",'[1]Leakage Tree Data'!AD166,"")</f>
      </c>
      <c s="72">
        <f>IF('[1]Leakage Tree Data'!AE166&lt;&gt;"",'[1]Leakage Tree Data'!AE166,"")</f>
      </c>
      <c s="73">
        <f t="shared" si="164"/>
      </c>
      <c s="73">
        <f t="shared" si="165"/>
      </c>
      <c s="73">
        <f t="shared" si="166"/>
      </c>
      <c s="73">
        <f t="shared" si="167"/>
      </c>
      <c s="74">
        <f t="shared" si="168"/>
      </c>
      <c s="74">
        <f t="shared" si="169"/>
      </c>
      <c s="69" t="str">
        <f t="shared" si="170"/>
        <v>Total US - Cost Plus World Market</v>
      </c>
      <c s="69" t="str">
        <f t="shared" si="171"/>
        <v>Total US - Specialty Stores</v>
      </c>
    </row>
    <row r="268" spans="1:140" ht="15">
      <c r="A268"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141"/>
      </c>
      <c s="75">
        <f t="shared" si="142"/>
      </c>
      <c s="76">
        <f t="shared" si="143"/>
      </c>
      <c s="75">
        <f t="shared" si="144"/>
      </c>
      <c s="76">
        <f t="shared" si="145"/>
      </c>
      <c s="75">
        <f t="shared" si="146"/>
      </c>
      <c s="76">
        <f t="shared" si="147"/>
      </c>
      <c s="75">
        <f t="shared" si="148"/>
      </c>
      <c s="76">
        <f t="shared" si="149"/>
      </c>
      <c s="75">
        <f t="shared" si="150"/>
      </c>
      <c s="76">
        <f t="shared" si="151"/>
      </c>
      <c s="75">
        <f t="shared" si="152"/>
      </c>
      <c s="76">
        <f t="shared" si="153"/>
      </c>
      <c s="75">
        <f t="shared" si="154"/>
      </c>
      <c s="76">
        <f t="shared" si="155"/>
      </c>
      <c s="75">
        <f t="shared" si="156"/>
      </c>
      <c s="76">
        <f t="shared" si="157"/>
      </c>
      <c s="75">
        <f t="shared" si="158"/>
      </c>
      <c s="76">
        <f t="shared" si="159"/>
      </c>
      <c s="75">
        <f t="shared" si="160"/>
      </c>
      <c s="76">
        <f t="shared" si="161"/>
      </c>
      <c s="65" t="str">
        <f t="shared" si="162"/>
        <v>Kohls</v>
      </c>
      <c s="65" t="str">
        <f t="shared" si="163"/>
        <v>Specialty Stores</v>
      </c>
      <c s="72" t="str">
        <f>IF('[1]Leakage Tree Data'!A167&lt;&gt;"",'[1]Leakage Tree Data'!A167,"")</f>
        <v>Total US - Kohls</v>
      </c>
      <c s="72" t="str">
        <f>IF('[1]Leakage Tree Data'!B167&lt;&gt;"",'[1]Leakage Tree Data'!B167,"")</f>
        <v>Total US - Specialty Stores</v>
      </c>
      <c s="72">
        <f>IF('[1]Leakage Tree Data'!C167&lt;&gt;"",'[1]Leakage Tree Data'!C167,"")</f>
        <v>121171760.292236</v>
      </c>
      <c s="72">
        <f>IF('[1]Leakage Tree Data'!D167&lt;&gt;"",'[1]Leakage Tree Data'!D167,"")</f>
        <v>34606284.1588135</v>
      </c>
      <c s="72">
        <f>IF('[1]Leakage Tree Data'!E167&lt;&gt;"",'[1]Leakage Tree Data'!E167,"")</f>
        <v>28.5596941691296</v>
      </c>
      <c s="72">
        <f>IF('[1]Leakage Tree Data'!F167&lt;&gt;"",'[1]Leakage Tree Data'!F167,"")</f>
        <v>86565476.1334229</v>
      </c>
      <c s="72">
        <f>IF('[1]Leakage Tree Data'!G167&lt;&gt;"",'[1]Leakage Tree Data'!G167,"")</f>
        <v>71.4403058308704</v>
      </c>
      <c s="72">
        <f>IF('[1]Leakage Tree Data'!H167&lt;&gt;"",'[1]Leakage Tree Data'!H167,"")</f>
        <v>61518209.9918823</v>
      </c>
      <c s="72" t="str">
        <f>IF('[1]Leakage Tree Data'!I167&lt;&gt;"",'[1]Leakage Tree Data'!I167,"")</f>
        <v>Specialty Stores</v>
      </c>
      <c s="72">
        <f>IF('[1]Leakage Tree Data'!J167&lt;&gt;"",'[1]Leakage Tree Data'!J167,"")</f>
      </c>
      <c s="72">
        <f>IF('[1]Leakage Tree Data'!K167&lt;&gt;"",'[1]Leakage Tree Data'!K167,"")</f>
      </c>
      <c s="72">
        <f>IF('[1]Leakage Tree Data'!L167&lt;&gt;"",'[1]Leakage Tree Data'!L167,"")</f>
      </c>
      <c s="72">
        <f>IF('[1]Leakage Tree Data'!M167&lt;&gt;"",'[1]Leakage Tree Data'!M167,"")</f>
      </c>
      <c s="72">
        <f>IF('[1]Leakage Tree Data'!N167&lt;&gt;"",'[1]Leakage Tree Data'!N167,"")</f>
      </c>
      <c s="72">
        <f>IF('[1]Leakage Tree Data'!O167&lt;&gt;"",'[1]Leakage Tree Data'!O167,"")</f>
      </c>
      <c s="72">
        <f>IF('[1]Leakage Tree Data'!P167&lt;&gt;"",'[1]Leakage Tree Data'!P167,"")</f>
      </c>
      <c s="72">
        <f>IF('[1]Leakage Tree Data'!Q167&lt;&gt;"",'[1]Leakage Tree Data'!Q167,"")</f>
      </c>
      <c s="72">
        <f>IF('[1]Leakage Tree Data'!R167&lt;&gt;"",'[1]Leakage Tree Data'!R167,"")</f>
        <v>1017625.85098267</v>
      </c>
      <c s="72">
        <f>IF('[1]Leakage Tree Data'!S167&lt;&gt;"",'[1]Leakage Tree Data'!S167,"")</f>
        <v>-1779445.8371582</v>
      </c>
      <c s="72">
        <f>IF('[1]Leakage Tree Data'!T167&lt;&gt;"",'[1]Leakage Tree Data'!T167,"")</f>
        <v>-1.72285096772676</v>
      </c>
      <c s="72">
        <f>IF('[1]Leakage Tree Data'!U167&lt;&gt;"",'[1]Leakage Tree Data'!U167,"")</f>
        <v>2797071.68814087</v>
      </c>
      <c s="72">
        <f>IF('[1]Leakage Tree Data'!V167&lt;&gt;"",'[1]Leakage Tree Data'!V167,"")</f>
        <v>1.72285096772676</v>
      </c>
      <c s="72">
        <f>IF('[1]Leakage Tree Data'!W167&lt;&gt;"",'[1]Leakage Tree Data'!W167,"")</f>
        <v>-1855949.2237854</v>
      </c>
      <c s="72">
        <f>IF('[1]Leakage Tree Data'!X167&lt;&gt;"",'[1]Leakage Tree Data'!X167,"")</f>
      </c>
      <c s="72">
        <f>IF('[1]Leakage Tree Data'!Y167&lt;&gt;"",'[1]Leakage Tree Data'!Y167,"")</f>
      </c>
      <c s="72">
        <f>IF('[1]Leakage Tree Data'!Z167&lt;&gt;"",'[1]Leakage Tree Data'!Z167,"")</f>
      </c>
      <c s="72">
        <f>IF('[1]Leakage Tree Data'!AA167&lt;&gt;"",'[1]Leakage Tree Data'!AA167,"")</f>
      </c>
      <c s="72">
        <f>IF('[1]Leakage Tree Data'!AB167&lt;&gt;"",'[1]Leakage Tree Data'!AB167,"")</f>
      </c>
      <c s="72">
        <f>IF('[1]Leakage Tree Data'!AC167&lt;&gt;"",'[1]Leakage Tree Data'!AC167,"")</f>
      </c>
      <c s="72">
        <f>IF('[1]Leakage Tree Data'!AD167&lt;&gt;"",'[1]Leakage Tree Data'!AD167,"")</f>
      </c>
      <c s="72">
        <f>IF('[1]Leakage Tree Data'!AE167&lt;&gt;"",'[1]Leakage Tree Data'!AE167,"")</f>
      </c>
      <c s="73">
        <f t="shared" si="164"/>
      </c>
      <c s="73">
        <f t="shared" si="165"/>
      </c>
      <c s="73">
        <f t="shared" si="166"/>
      </c>
      <c s="73">
        <f t="shared" si="167"/>
      </c>
      <c s="74">
        <f t="shared" si="168"/>
      </c>
      <c s="74">
        <f t="shared" si="169"/>
      </c>
      <c s="69" t="str">
        <f t="shared" si="170"/>
        <v>Total US - Kohls</v>
      </c>
      <c s="69" t="str">
        <f t="shared" si="171"/>
        <v>Total US - Specialty Stores</v>
      </c>
    </row>
    <row r="269" spans="1:140" ht="15">
      <c r="A269"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141"/>
      </c>
      <c s="75">
        <f t="shared" si="142"/>
      </c>
      <c s="76">
        <f t="shared" si="143"/>
      </c>
      <c s="75">
        <f t="shared" si="144"/>
      </c>
      <c s="76">
        <f t="shared" si="145"/>
      </c>
      <c s="75">
        <f t="shared" si="146"/>
      </c>
      <c s="76">
        <f t="shared" si="147"/>
      </c>
      <c s="75">
        <f t="shared" si="148"/>
      </c>
      <c s="76">
        <f t="shared" si="149"/>
      </c>
      <c s="75">
        <f t="shared" si="150"/>
      </c>
      <c s="76">
        <f t="shared" si="151"/>
      </c>
      <c s="75">
        <f t="shared" si="152"/>
      </c>
      <c s="76">
        <f t="shared" si="153"/>
      </c>
      <c s="75">
        <f t="shared" si="154"/>
      </c>
      <c s="76">
        <f t="shared" si="155"/>
      </c>
      <c s="75">
        <f t="shared" si="156"/>
      </c>
      <c s="76">
        <f t="shared" si="157"/>
      </c>
      <c s="75">
        <f t="shared" si="158"/>
      </c>
      <c s="76">
        <f t="shared" si="159"/>
      </c>
      <c s="75">
        <f t="shared" si="160"/>
      </c>
      <c s="76">
        <f t="shared" si="161"/>
      </c>
      <c s="65" t="str">
        <f t="shared" si="162"/>
        <v>Office Depot / Office Max</v>
      </c>
      <c s="65" t="str">
        <f t="shared" si="163"/>
        <v>Specialty Stores</v>
      </c>
      <c s="72" t="str">
        <f>IF('[1]Leakage Tree Data'!A168&lt;&gt;"",'[1]Leakage Tree Data'!A168,"")</f>
        <v>Total US - Office Depot / Office Max</v>
      </c>
      <c s="72" t="str">
        <f>IF('[1]Leakage Tree Data'!B168&lt;&gt;"",'[1]Leakage Tree Data'!B168,"")</f>
        <v>Total US - Specialty Stores</v>
      </c>
      <c s="72">
        <f>IF('[1]Leakage Tree Data'!C168&lt;&gt;"",'[1]Leakage Tree Data'!C168,"")</f>
        <v>121171760.292236</v>
      </c>
      <c s="72">
        <f>IF('[1]Leakage Tree Data'!D168&lt;&gt;"",'[1]Leakage Tree Data'!D168,"")</f>
        <v>18011089.6371765</v>
      </c>
      <c s="72">
        <f>IF('[1]Leakage Tree Data'!E168&lt;&gt;"",'[1]Leakage Tree Data'!E168,"")</f>
        <v>14.8640983623067</v>
      </c>
      <c s="72">
        <f>IF('[1]Leakage Tree Data'!F168&lt;&gt;"",'[1]Leakage Tree Data'!F168,"")</f>
        <v>103160670.65506</v>
      </c>
      <c s="72">
        <f>IF('[1]Leakage Tree Data'!G168&lt;&gt;"",'[1]Leakage Tree Data'!G168,"")</f>
        <v>85.1359016376933</v>
      </c>
      <c s="72">
        <f>IF('[1]Leakage Tree Data'!H168&lt;&gt;"",'[1]Leakage Tree Data'!H168,"")</f>
        <v>61518209.9918823</v>
      </c>
      <c s="72" t="str">
        <f>IF('[1]Leakage Tree Data'!I168&lt;&gt;"",'[1]Leakage Tree Data'!I168,"")</f>
        <v>Specialty Stores</v>
      </c>
      <c s="72">
        <f>IF('[1]Leakage Tree Data'!J168&lt;&gt;"",'[1]Leakage Tree Data'!J168,"")</f>
      </c>
      <c s="72">
        <f>IF('[1]Leakage Tree Data'!K168&lt;&gt;"",'[1]Leakage Tree Data'!K168,"")</f>
      </c>
      <c s="72">
        <f>IF('[1]Leakage Tree Data'!L168&lt;&gt;"",'[1]Leakage Tree Data'!L168,"")</f>
      </c>
      <c s="72">
        <f>IF('[1]Leakage Tree Data'!M168&lt;&gt;"",'[1]Leakage Tree Data'!M168,"")</f>
      </c>
      <c s="72">
        <f>IF('[1]Leakage Tree Data'!N168&lt;&gt;"",'[1]Leakage Tree Data'!N168,"")</f>
      </c>
      <c s="72">
        <f>IF('[1]Leakage Tree Data'!O168&lt;&gt;"",'[1]Leakage Tree Data'!O168,"")</f>
      </c>
      <c s="72">
        <f>IF('[1]Leakage Tree Data'!P168&lt;&gt;"",'[1]Leakage Tree Data'!P168,"")</f>
      </c>
      <c s="72">
        <f>IF('[1]Leakage Tree Data'!Q168&lt;&gt;"",'[1]Leakage Tree Data'!Q168,"")</f>
      </c>
      <c s="72">
        <f>IF('[1]Leakage Tree Data'!R168&lt;&gt;"",'[1]Leakage Tree Data'!R168,"")</f>
        <v>1017625.85098267</v>
      </c>
      <c s="72">
        <f>IF('[1]Leakage Tree Data'!S168&lt;&gt;"",'[1]Leakage Tree Data'!S168,"")</f>
        <v>-1582038.23321533</v>
      </c>
      <c s="72">
        <f>IF('[1]Leakage Tree Data'!T168&lt;&gt;"",'[1]Leakage Tree Data'!T168,"")</f>
        <v>-1.44256304514691</v>
      </c>
      <c s="72">
        <f>IF('[1]Leakage Tree Data'!U168&lt;&gt;"",'[1]Leakage Tree Data'!U168,"")</f>
        <v>2599664.084198</v>
      </c>
      <c s="72">
        <f>IF('[1]Leakage Tree Data'!V168&lt;&gt;"",'[1]Leakage Tree Data'!V168,"")</f>
        <v>1.44256304514691</v>
      </c>
      <c s="72">
        <f>IF('[1]Leakage Tree Data'!W168&lt;&gt;"",'[1]Leakage Tree Data'!W168,"")</f>
        <v>-1855949.2237854</v>
      </c>
      <c s="72">
        <f>IF('[1]Leakage Tree Data'!X168&lt;&gt;"",'[1]Leakage Tree Data'!X168,"")</f>
      </c>
      <c s="72">
        <f>IF('[1]Leakage Tree Data'!Y168&lt;&gt;"",'[1]Leakage Tree Data'!Y168,"")</f>
      </c>
      <c s="72">
        <f>IF('[1]Leakage Tree Data'!Z168&lt;&gt;"",'[1]Leakage Tree Data'!Z168,"")</f>
      </c>
      <c s="72">
        <f>IF('[1]Leakage Tree Data'!AA168&lt;&gt;"",'[1]Leakage Tree Data'!AA168,"")</f>
      </c>
      <c s="72">
        <f>IF('[1]Leakage Tree Data'!AB168&lt;&gt;"",'[1]Leakage Tree Data'!AB168,"")</f>
      </c>
      <c s="72">
        <f>IF('[1]Leakage Tree Data'!AC168&lt;&gt;"",'[1]Leakage Tree Data'!AC168,"")</f>
      </c>
      <c s="72">
        <f>IF('[1]Leakage Tree Data'!AD168&lt;&gt;"",'[1]Leakage Tree Data'!AD168,"")</f>
      </c>
      <c s="72">
        <f>IF('[1]Leakage Tree Data'!AE168&lt;&gt;"",'[1]Leakage Tree Data'!AE168,"")</f>
      </c>
      <c s="73">
        <f t="shared" si="164"/>
      </c>
      <c s="73">
        <f t="shared" si="165"/>
      </c>
      <c s="73">
        <f t="shared" si="166"/>
      </c>
      <c s="73">
        <f t="shared" si="167"/>
      </c>
      <c s="74">
        <f t="shared" si="168"/>
      </c>
      <c s="74">
        <f t="shared" si="169"/>
      </c>
      <c s="69" t="str">
        <f t="shared" si="170"/>
        <v>Total US - Office Depot / Office Max</v>
      </c>
      <c s="69" t="str">
        <f t="shared" si="171"/>
        <v>Total US - Specialty Stores</v>
      </c>
    </row>
    <row r="270" spans="1:140" ht="15">
      <c r="A270"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141"/>
      </c>
      <c s="75">
        <f t="shared" si="142"/>
      </c>
      <c s="76">
        <f t="shared" si="143"/>
      </c>
      <c s="75">
        <f t="shared" si="144"/>
      </c>
      <c s="76">
        <f t="shared" si="145"/>
      </c>
      <c s="75">
        <f t="shared" si="146"/>
      </c>
      <c s="76">
        <f t="shared" si="147"/>
      </c>
      <c s="75">
        <f t="shared" si="148"/>
      </c>
      <c s="76">
        <f t="shared" si="149"/>
      </c>
      <c s="75">
        <f t="shared" si="150"/>
      </c>
      <c s="76">
        <f t="shared" si="151"/>
      </c>
      <c s="75">
        <f t="shared" si="152"/>
      </c>
      <c s="76">
        <f t="shared" si="153"/>
      </c>
      <c s="75">
        <f t="shared" si="154"/>
      </c>
      <c s="76">
        <f t="shared" si="155"/>
      </c>
      <c s="75">
        <f t="shared" si="156"/>
      </c>
      <c s="76">
        <f t="shared" si="157"/>
      </c>
      <c s="75">
        <f t="shared" si="158"/>
      </c>
      <c s="76">
        <f t="shared" si="159"/>
      </c>
      <c s="75">
        <f t="shared" si="160"/>
      </c>
      <c s="76">
        <f t="shared" si="161"/>
      </c>
      <c s="65" t="str">
        <f t="shared" si="162"/>
        <v>Sephora</v>
      </c>
      <c s="65" t="str">
        <f t="shared" si="163"/>
        <v>Specialty Stores</v>
      </c>
      <c s="72" t="str">
        <f>IF('[1]Leakage Tree Data'!A169&lt;&gt;"",'[1]Leakage Tree Data'!A169,"")</f>
        <v>Total US - Sephora</v>
      </c>
      <c s="72" t="str">
        <f>IF('[1]Leakage Tree Data'!B169&lt;&gt;"",'[1]Leakage Tree Data'!B169,"")</f>
        <v>Total US - Specialty Stores</v>
      </c>
      <c s="72">
        <f>IF('[1]Leakage Tree Data'!C169&lt;&gt;"",'[1]Leakage Tree Data'!C169,"")</f>
        <v>121171760.292236</v>
      </c>
      <c s="72">
        <f>IF('[1]Leakage Tree Data'!D169&lt;&gt;"",'[1]Leakage Tree Data'!D169,"")</f>
        <v>2938468.18115234</v>
      </c>
      <c s="72">
        <f>IF('[1]Leakage Tree Data'!E169&lt;&gt;"",'[1]Leakage Tree Data'!E169,"")</f>
        <v>2.42504373466679</v>
      </c>
      <c s="72">
        <f>IF('[1]Leakage Tree Data'!F169&lt;&gt;"",'[1]Leakage Tree Data'!F169,"")</f>
        <v>118233292.111084</v>
      </c>
      <c s="72">
        <f>IF('[1]Leakage Tree Data'!G169&lt;&gt;"",'[1]Leakage Tree Data'!G169,"")</f>
        <v>97.5749562653332</v>
      </c>
      <c s="72">
        <f>IF('[1]Leakage Tree Data'!H169&lt;&gt;"",'[1]Leakage Tree Data'!H169,"")</f>
        <v>61518209.9918823</v>
      </c>
      <c s="72" t="str">
        <f>IF('[1]Leakage Tree Data'!I169&lt;&gt;"",'[1]Leakage Tree Data'!I169,"")</f>
        <v>Specialty Stores</v>
      </c>
      <c s="72">
        <f>IF('[1]Leakage Tree Data'!J169&lt;&gt;"",'[1]Leakage Tree Data'!J169,"")</f>
      </c>
      <c s="72">
        <f>IF('[1]Leakage Tree Data'!K169&lt;&gt;"",'[1]Leakage Tree Data'!K169,"")</f>
      </c>
      <c s="72">
        <f>IF('[1]Leakage Tree Data'!L169&lt;&gt;"",'[1]Leakage Tree Data'!L169,"")</f>
      </c>
      <c s="72">
        <f>IF('[1]Leakage Tree Data'!M169&lt;&gt;"",'[1]Leakage Tree Data'!M169,"")</f>
      </c>
      <c s="72">
        <f>IF('[1]Leakage Tree Data'!N169&lt;&gt;"",'[1]Leakage Tree Data'!N169,"")</f>
      </c>
      <c s="72">
        <f>IF('[1]Leakage Tree Data'!O169&lt;&gt;"",'[1]Leakage Tree Data'!O169,"")</f>
      </c>
      <c s="72">
        <f>IF('[1]Leakage Tree Data'!P169&lt;&gt;"",'[1]Leakage Tree Data'!P169,"")</f>
      </c>
      <c s="72">
        <f>IF('[1]Leakage Tree Data'!Q169&lt;&gt;"",'[1]Leakage Tree Data'!Q169,"")</f>
      </c>
      <c s="72">
        <f>IF('[1]Leakage Tree Data'!R169&lt;&gt;"",'[1]Leakage Tree Data'!R169,"")</f>
        <v>1017625.85098267</v>
      </c>
      <c s="72">
        <f>IF('[1]Leakage Tree Data'!S169&lt;&gt;"",'[1]Leakage Tree Data'!S169,"")</f>
        <v>136427.097991943</v>
      </c>
      <c s="72">
        <f>IF('[1]Leakage Tree Data'!T169&lt;&gt;"",'[1]Leakage Tree Data'!T169,"")</f>
        <v>0.0930048945631374</v>
      </c>
      <c s="72">
        <f>IF('[1]Leakage Tree Data'!U169&lt;&gt;"",'[1]Leakage Tree Data'!U169,"")</f>
        <v>881198.752990723</v>
      </c>
      <c s="72">
        <f>IF('[1]Leakage Tree Data'!V169&lt;&gt;"",'[1]Leakage Tree Data'!V169,"")</f>
        <v>-0.093004894563137</v>
      </c>
      <c s="72">
        <f>IF('[1]Leakage Tree Data'!W169&lt;&gt;"",'[1]Leakage Tree Data'!W169,"")</f>
        <v>-1855949.2237854</v>
      </c>
      <c s="72">
        <f>IF('[1]Leakage Tree Data'!X169&lt;&gt;"",'[1]Leakage Tree Data'!X169,"")</f>
      </c>
      <c s="72">
        <f>IF('[1]Leakage Tree Data'!Y169&lt;&gt;"",'[1]Leakage Tree Data'!Y169,"")</f>
      </c>
      <c s="72">
        <f>IF('[1]Leakage Tree Data'!Z169&lt;&gt;"",'[1]Leakage Tree Data'!Z169,"")</f>
      </c>
      <c s="72">
        <f>IF('[1]Leakage Tree Data'!AA169&lt;&gt;"",'[1]Leakage Tree Data'!AA169,"")</f>
      </c>
      <c s="72">
        <f>IF('[1]Leakage Tree Data'!AB169&lt;&gt;"",'[1]Leakage Tree Data'!AB169,"")</f>
      </c>
      <c s="72">
        <f>IF('[1]Leakage Tree Data'!AC169&lt;&gt;"",'[1]Leakage Tree Data'!AC169,"")</f>
      </c>
      <c s="72">
        <f>IF('[1]Leakage Tree Data'!AD169&lt;&gt;"",'[1]Leakage Tree Data'!AD169,"")</f>
      </c>
      <c s="72">
        <f>IF('[1]Leakage Tree Data'!AE169&lt;&gt;"",'[1]Leakage Tree Data'!AE169,"")</f>
      </c>
      <c s="73">
        <f t="shared" si="164"/>
      </c>
      <c s="73">
        <f t="shared" si="165"/>
      </c>
      <c s="73">
        <f t="shared" si="166"/>
      </c>
      <c s="73">
        <f t="shared" si="167"/>
      </c>
      <c s="74">
        <f t="shared" si="168"/>
      </c>
      <c s="74">
        <f t="shared" si="169"/>
      </c>
      <c s="69" t="str">
        <f t="shared" si="170"/>
        <v>Total US - Sephora</v>
      </c>
      <c s="69" t="str">
        <f t="shared" si="171"/>
        <v>Total US - Specialty Stores</v>
      </c>
    </row>
    <row r="271" spans="1:140" ht="15">
      <c r="A271"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141"/>
      </c>
      <c s="75">
        <f t="shared" si="142"/>
      </c>
      <c s="76">
        <f t="shared" si="143"/>
      </c>
      <c s="75">
        <f t="shared" si="144"/>
      </c>
      <c s="76">
        <f t="shared" si="145"/>
      </c>
      <c s="75">
        <f t="shared" si="146"/>
      </c>
      <c s="76">
        <f t="shared" si="147"/>
      </c>
      <c s="75">
        <f t="shared" si="148"/>
      </c>
      <c s="76">
        <f t="shared" si="149"/>
      </c>
      <c s="75">
        <f t="shared" si="150"/>
      </c>
      <c s="76">
        <f t="shared" si="151"/>
      </c>
      <c s="75">
        <f t="shared" si="152"/>
      </c>
      <c s="76">
        <f t="shared" si="153"/>
      </c>
      <c s="75">
        <f t="shared" si="154"/>
      </c>
      <c s="76">
        <f t="shared" si="155"/>
      </c>
      <c s="75">
        <f t="shared" si="156"/>
      </c>
      <c s="76">
        <f t="shared" si="157"/>
      </c>
      <c s="75">
        <f t="shared" si="158"/>
      </c>
      <c s="76">
        <f t="shared" si="159"/>
      </c>
      <c s="75">
        <f t="shared" si="160"/>
      </c>
      <c s="76">
        <f t="shared" si="161"/>
      </c>
      <c s="65" t="str">
        <f t="shared" si="162"/>
        <v>Staples</v>
      </c>
      <c s="65" t="str">
        <f t="shared" si="163"/>
        <v>Specialty Stores</v>
      </c>
      <c s="72" t="str">
        <f>IF('[1]Leakage Tree Data'!A170&lt;&gt;"",'[1]Leakage Tree Data'!A170,"")</f>
        <v>Total US - Staples</v>
      </c>
      <c s="72" t="str">
        <f>IF('[1]Leakage Tree Data'!B170&lt;&gt;"",'[1]Leakage Tree Data'!B170,"")</f>
        <v>Total US - Specialty Stores</v>
      </c>
      <c s="72">
        <f>IF('[1]Leakage Tree Data'!C170&lt;&gt;"",'[1]Leakage Tree Data'!C170,"")</f>
        <v>121171760.292236</v>
      </c>
      <c s="72">
        <f>IF('[1]Leakage Tree Data'!D170&lt;&gt;"",'[1]Leakage Tree Data'!D170,"")</f>
        <v>20363203.757019</v>
      </c>
      <c s="72">
        <f>IF('[1]Leakage Tree Data'!E170&lt;&gt;"",'[1]Leakage Tree Data'!E170,"")</f>
        <v>16.8052388674622</v>
      </c>
      <c s="72">
        <f>IF('[1]Leakage Tree Data'!F170&lt;&gt;"",'[1]Leakage Tree Data'!F170,"")</f>
        <v>100808556.535217</v>
      </c>
      <c s="72">
        <f>IF('[1]Leakage Tree Data'!G170&lt;&gt;"",'[1]Leakage Tree Data'!G170,"")</f>
        <v>83.1947611325378</v>
      </c>
      <c s="72">
        <f>IF('[1]Leakage Tree Data'!H170&lt;&gt;"",'[1]Leakage Tree Data'!H170,"")</f>
        <v>61518209.9918823</v>
      </c>
      <c s="72" t="str">
        <f>IF('[1]Leakage Tree Data'!I170&lt;&gt;"",'[1]Leakage Tree Data'!I170,"")</f>
        <v>Specialty Stores</v>
      </c>
      <c s="72">
        <f>IF('[1]Leakage Tree Data'!J170&lt;&gt;"",'[1]Leakage Tree Data'!J170,"")</f>
      </c>
      <c s="72">
        <f>IF('[1]Leakage Tree Data'!K170&lt;&gt;"",'[1]Leakage Tree Data'!K170,"")</f>
      </c>
      <c s="72">
        <f>IF('[1]Leakage Tree Data'!L170&lt;&gt;"",'[1]Leakage Tree Data'!L170,"")</f>
      </c>
      <c s="72">
        <f>IF('[1]Leakage Tree Data'!M170&lt;&gt;"",'[1]Leakage Tree Data'!M170,"")</f>
      </c>
      <c s="72">
        <f>IF('[1]Leakage Tree Data'!N170&lt;&gt;"",'[1]Leakage Tree Data'!N170,"")</f>
      </c>
      <c s="72">
        <f>IF('[1]Leakage Tree Data'!O170&lt;&gt;"",'[1]Leakage Tree Data'!O170,"")</f>
        <v>0.628421409952277</v>
      </c>
      <c s="72">
        <f>IF('[1]Leakage Tree Data'!P170&lt;&gt;"",'[1]Leakage Tree Data'!P170,"")</f>
        <v>2045582.03107409</v>
      </c>
      <c s="72">
        <f>IF('[1]Leakage Tree Data'!Q170&lt;&gt;"",'[1]Leakage Tree Data'!Q170,"")</f>
      </c>
      <c s="72">
        <f>IF('[1]Leakage Tree Data'!R170&lt;&gt;"",'[1]Leakage Tree Data'!R170,"")</f>
        <v>1017625.85098267</v>
      </c>
      <c s="72">
        <f>IF('[1]Leakage Tree Data'!S170&lt;&gt;"",'[1]Leakage Tree Data'!S170,"")</f>
        <v>-2238562.02145386</v>
      </c>
      <c s="72">
        <f>IF('[1]Leakage Tree Data'!T170&lt;&gt;"",'[1]Leakage Tree Data'!T170,"")</f>
        <v>-2.00540454782822</v>
      </c>
      <c s="72">
        <f>IF('[1]Leakage Tree Data'!U170&lt;&gt;"",'[1]Leakage Tree Data'!U170,"")</f>
        <v>3256187.87243652</v>
      </c>
      <c s="72">
        <f>IF('[1]Leakage Tree Data'!V170&lt;&gt;"",'[1]Leakage Tree Data'!V170,"")</f>
        <v>2.00540454782822</v>
      </c>
      <c s="72">
        <f>IF('[1]Leakage Tree Data'!W170&lt;&gt;"",'[1]Leakage Tree Data'!W170,"")</f>
        <v>-1855949.2237854</v>
      </c>
      <c s="72">
        <f>IF('[1]Leakage Tree Data'!X170&lt;&gt;"",'[1]Leakage Tree Data'!X170,"")</f>
      </c>
      <c s="72">
        <f>IF('[1]Leakage Tree Data'!Y170&lt;&gt;"",'[1]Leakage Tree Data'!Y170,"")</f>
      </c>
      <c s="72">
        <f>IF('[1]Leakage Tree Data'!Z170&lt;&gt;"",'[1]Leakage Tree Data'!Z170,"")</f>
      </c>
      <c s="72">
        <f>IF('[1]Leakage Tree Data'!AA170&lt;&gt;"",'[1]Leakage Tree Data'!AA170,"")</f>
      </c>
      <c s="72">
        <f>IF('[1]Leakage Tree Data'!AB170&lt;&gt;"",'[1]Leakage Tree Data'!AB170,"")</f>
      </c>
      <c s="72">
        <f>IF('[1]Leakage Tree Data'!AC170&lt;&gt;"",'[1]Leakage Tree Data'!AC170,"")</f>
      </c>
      <c s="72">
        <f>IF('[1]Leakage Tree Data'!AD170&lt;&gt;"",'[1]Leakage Tree Data'!AD170,"")</f>
        <v>0.0129896912837438</v>
      </c>
      <c s="72">
        <f>IF('[1]Leakage Tree Data'!AE170&lt;&gt;"",'[1]Leakage Tree Data'!AE170,"")</f>
      </c>
      <c s="73">
        <f t="shared" si="164"/>
      </c>
      <c s="73">
        <f t="shared" si="165"/>
      </c>
      <c s="73">
        <f t="shared" si="166"/>
      </c>
      <c s="73">
        <f t="shared" si="167"/>
      </c>
      <c s="74">
        <f t="shared" si="168"/>
      </c>
      <c s="74">
        <f t="shared" si="169"/>
      </c>
      <c s="69" t="str">
        <f t="shared" si="170"/>
        <v>Total US - Staples</v>
      </c>
      <c s="69" t="str">
        <f t="shared" si="171"/>
        <v>Total US - Specialty Stores</v>
      </c>
    </row>
    <row r="272" spans="1:140" ht="15">
      <c r="A272"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141"/>
      </c>
      <c s="75">
        <f t="shared" si="142"/>
      </c>
      <c s="76">
        <f t="shared" si="143"/>
      </c>
      <c s="75">
        <f t="shared" si="144"/>
      </c>
      <c s="76">
        <f t="shared" si="145"/>
      </c>
      <c s="75">
        <f t="shared" si="146"/>
      </c>
      <c s="76">
        <f t="shared" si="147"/>
      </c>
      <c s="75">
        <f t="shared" si="148"/>
      </c>
      <c s="76">
        <f t="shared" si="149"/>
      </c>
      <c s="75">
        <f t="shared" si="150"/>
      </c>
      <c s="76">
        <f t="shared" si="151"/>
      </c>
      <c s="75">
        <f t="shared" si="152"/>
      </c>
      <c s="76">
        <f t="shared" si="153"/>
      </c>
      <c s="75">
        <f t="shared" si="154"/>
      </c>
      <c s="76">
        <f t="shared" si="155"/>
      </c>
      <c s="75">
        <f t="shared" si="156"/>
      </c>
      <c s="76">
        <f t="shared" si="157"/>
      </c>
      <c s="75">
        <f t="shared" si="158"/>
      </c>
      <c s="76">
        <f t="shared" si="159"/>
      </c>
      <c s="75">
        <f t="shared" si="160"/>
      </c>
      <c s="76">
        <f t="shared" si="161"/>
      </c>
      <c s="65" t="str">
        <f t="shared" si="162"/>
        <v>Ulta Beauty</v>
      </c>
      <c s="65" t="str">
        <f t="shared" si="163"/>
        <v>Specialty Stores</v>
      </c>
      <c s="72" t="str">
        <f>IF('[1]Leakage Tree Data'!A171&lt;&gt;"",'[1]Leakage Tree Data'!A171,"")</f>
        <v>Total US - Ulta Beauty</v>
      </c>
      <c s="72" t="str">
        <f>IF('[1]Leakage Tree Data'!B171&lt;&gt;"",'[1]Leakage Tree Data'!B171,"")</f>
        <v>Total US - Specialty Stores</v>
      </c>
      <c s="72">
        <f>IF('[1]Leakage Tree Data'!C171&lt;&gt;"",'[1]Leakage Tree Data'!C171,"")</f>
        <v>121171760.292236</v>
      </c>
      <c s="72">
        <f>IF('[1]Leakage Tree Data'!D171&lt;&gt;"",'[1]Leakage Tree Data'!D171,"")</f>
        <v>8126185.21234131</v>
      </c>
      <c s="72">
        <f>IF('[1]Leakage Tree Data'!E171&lt;&gt;"",'[1]Leakage Tree Data'!E171,"")</f>
        <v>6.70633585972751</v>
      </c>
      <c s="72">
        <f>IF('[1]Leakage Tree Data'!F171&lt;&gt;"",'[1]Leakage Tree Data'!F171,"")</f>
        <v>113045575.079895</v>
      </c>
      <c s="72">
        <f>IF('[1]Leakage Tree Data'!G171&lt;&gt;"",'[1]Leakage Tree Data'!G171,"")</f>
        <v>93.2936641402725</v>
      </c>
      <c s="72">
        <f>IF('[1]Leakage Tree Data'!H171&lt;&gt;"",'[1]Leakage Tree Data'!H171,"")</f>
        <v>61518209.9918823</v>
      </c>
      <c s="72" t="str">
        <f>IF('[1]Leakage Tree Data'!I171&lt;&gt;"",'[1]Leakage Tree Data'!I171,"")</f>
        <v>Specialty Stores</v>
      </c>
      <c s="72">
        <f>IF('[1]Leakage Tree Data'!J171&lt;&gt;"",'[1]Leakage Tree Data'!J171,"")</f>
      </c>
      <c s="72">
        <f>IF('[1]Leakage Tree Data'!K171&lt;&gt;"",'[1]Leakage Tree Data'!K171,"")</f>
      </c>
      <c s="72">
        <f>IF('[1]Leakage Tree Data'!L171&lt;&gt;"",'[1]Leakage Tree Data'!L171,"")</f>
      </c>
      <c s="72">
        <f>IF('[1]Leakage Tree Data'!M171&lt;&gt;"",'[1]Leakage Tree Data'!M171,"")</f>
      </c>
      <c s="72">
        <f>IF('[1]Leakage Tree Data'!N171&lt;&gt;"",'[1]Leakage Tree Data'!N171,"")</f>
      </c>
      <c s="72">
        <f>IF('[1]Leakage Tree Data'!O171&lt;&gt;"",'[1]Leakage Tree Data'!O171,"")</f>
      </c>
      <c s="72">
        <f>IF('[1]Leakage Tree Data'!P171&lt;&gt;"",'[1]Leakage Tree Data'!P171,"")</f>
      </c>
      <c s="72">
        <f>IF('[1]Leakage Tree Data'!Q171&lt;&gt;"",'[1]Leakage Tree Data'!Q171,"")</f>
      </c>
      <c s="72">
        <f>IF('[1]Leakage Tree Data'!R171&lt;&gt;"",'[1]Leakage Tree Data'!R171,"")</f>
        <v>1017625.85098267</v>
      </c>
      <c s="72">
        <f>IF('[1]Leakage Tree Data'!S171&lt;&gt;"",'[1]Leakage Tree Data'!S171,"")</f>
        <v>623814.320678711</v>
      </c>
      <c s="72">
        <f>IF('[1]Leakage Tree Data'!T171&lt;&gt;"",'[1]Leakage Tree Data'!T171,"")</f>
        <v>0.462380188496997</v>
      </c>
      <c s="72">
        <f>IF('[1]Leakage Tree Data'!U171&lt;&gt;"",'[1]Leakage Tree Data'!U171,"")</f>
        <v>393811.530303955</v>
      </c>
      <c s="72">
        <f>IF('[1]Leakage Tree Data'!V171&lt;&gt;"",'[1]Leakage Tree Data'!V171,"")</f>
        <v>-0.462380188497008</v>
      </c>
      <c s="72">
        <f>IF('[1]Leakage Tree Data'!W171&lt;&gt;"",'[1]Leakage Tree Data'!W171,"")</f>
        <v>-1855949.2237854</v>
      </c>
      <c s="72">
        <f>IF('[1]Leakage Tree Data'!X171&lt;&gt;"",'[1]Leakage Tree Data'!X171,"")</f>
      </c>
      <c s="72">
        <f>IF('[1]Leakage Tree Data'!Y171&lt;&gt;"",'[1]Leakage Tree Data'!Y171,"")</f>
      </c>
      <c s="72">
        <f>IF('[1]Leakage Tree Data'!Z171&lt;&gt;"",'[1]Leakage Tree Data'!Z171,"")</f>
      </c>
      <c s="72">
        <f>IF('[1]Leakage Tree Data'!AA171&lt;&gt;"",'[1]Leakage Tree Data'!AA171,"")</f>
      </c>
      <c s="72">
        <f>IF('[1]Leakage Tree Data'!AB171&lt;&gt;"",'[1]Leakage Tree Data'!AB171,"")</f>
      </c>
      <c s="72">
        <f>IF('[1]Leakage Tree Data'!AC171&lt;&gt;"",'[1]Leakage Tree Data'!AC171,"")</f>
      </c>
      <c s="72">
        <f>IF('[1]Leakage Tree Data'!AD171&lt;&gt;"",'[1]Leakage Tree Data'!AD171,"")</f>
      </c>
      <c s="72">
        <f>IF('[1]Leakage Tree Data'!AE171&lt;&gt;"",'[1]Leakage Tree Data'!AE171,"")</f>
      </c>
      <c s="73">
        <f t="shared" si="164"/>
      </c>
      <c s="73">
        <f t="shared" si="165"/>
      </c>
      <c s="73">
        <f t="shared" si="166"/>
      </c>
      <c s="73">
        <f t="shared" si="167"/>
      </c>
      <c s="74">
        <f t="shared" si="168"/>
      </c>
      <c s="74">
        <f t="shared" si="169"/>
      </c>
      <c s="69" t="str">
        <f t="shared" si="170"/>
        <v>Total US - Ulta Beauty</v>
      </c>
      <c s="69" t="str">
        <f t="shared" si="171"/>
        <v>Total US - Specialty Stores</v>
      </c>
    </row>
    <row r="273" spans="1:140" ht="15">
      <c r="A273"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141"/>
      </c>
      <c s="75">
        <f t="shared" si="142"/>
      </c>
      <c s="76">
        <f t="shared" si="143"/>
      </c>
      <c s="75">
        <f t="shared" si="144"/>
      </c>
      <c s="76">
        <f t="shared" si="145"/>
      </c>
      <c s="75">
        <f t="shared" si="146"/>
      </c>
      <c s="76">
        <f t="shared" si="147"/>
      </c>
      <c s="75">
        <f t="shared" si="148"/>
      </c>
      <c s="76">
        <f t="shared" si="149"/>
      </c>
      <c s="75">
        <f t="shared" si="150"/>
      </c>
      <c s="76">
        <f t="shared" si="151"/>
      </c>
      <c s="75">
        <f t="shared" si="152"/>
      </c>
      <c s="76">
        <f t="shared" si="153"/>
      </c>
      <c s="75">
        <f t="shared" si="154"/>
      </c>
      <c s="76">
        <f t="shared" si="155"/>
      </c>
      <c s="75">
        <f t="shared" si="156"/>
      </c>
      <c s="76">
        <f t="shared" si="157"/>
      </c>
      <c s="75">
        <f t="shared" si="158"/>
      </c>
      <c s="76">
        <f t="shared" si="159"/>
      </c>
      <c s="75">
        <f t="shared" si="160"/>
      </c>
      <c s="76">
        <f t="shared" si="161"/>
      </c>
      <c s="65" t="str">
        <f t="shared" si="162"/>
        <v>Toy</v>
      </c>
      <c s="65" t="str">
        <f t="shared" si="163"/>
        <v>Toy</v>
      </c>
      <c s="72" t="str">
        <f>IF('[1]Leakage Tree Data'!A172&lt;&gt;"",'[1]Leakage Tree Data'!A172,"")</f>
        <v>Total US - Toy</v>
      </c>
      <c s="72" t="str">
        <f>IF('[1]Leakage Tree Data'!B172&lt;&gt;"",'[1]Leakage Tree Data'!B172,"")</f>
        <v>Total US - Toy</v>
      </c>
      <c s="72">
        <f>IF('[1]Leakage Tree Data'!C172&lt;&gt;"",'[1]Leakage Tree Data'!C172,"")</f>
        <v>121171760.292236</v>
      </c>
      <c s="72">
        <f>IF('[1]Leakage Tree Data'!D172&lt;&gt;"",'[1]Leakage Tree Data'!D172,"")</f>
        <v>14911289.1411133</v>
      </c>
      <c s="72">
        <f>IF('[1]Leakage Tree Data'!E172&lt;&gt;"",'[1]Leakage Tree Data'!E172,"")</f>
        <v>12.3059111340389</v>
      </c>
      <c s="72">
        <f>IF('[1]Leakage Tree Data'!F172&lt;&gt;"",'[1]Leakage Tree Data'!F172,"")</f>
        <v>106260471.151123</v>
      </c>
      <c s="72">
        <f>IF('[1]Leakage Tree Data'!G172&lt;&gt;"",'[1]Leakage Tree Data'!G172,"")</f>
        <v>87.6940888659611</v>
      </c>
      <c s="72">
        <f>IF('[1]Leakage Tree Data'!H172&lt;&gt;"",'[1]Leakage Tree Data'!H172,"")</f>
        <v>61518209.9918823</v>
      </c>
      <c s="72" t="str">
        <f>IF('[1]Leakage Tree Data'!I172&lt;&gt;"",'[1]Leakage Tree Data'!I172,"")</f>
        <v>Toy</v>
      </c>
      <c s="72">
        <f>IF('[1]Leakage Tree Data'!J172&lt;&gt;"",'[1]Leakage Tree Data'!J172,"")</f>
      </c>
      <c s="72">
        <f>IF('[1]Leakage Tree Data'!K172&lt;&gt;"",'[1]Leakage Tree Data'!K172,"")</f>
      </c>
      <c s="72">
        <f>IF('[1]Leakage Tree Data'!L172&lt;&gt;"",'[1]Leakage Tree Data'!L172,"")</f>
      </c>
      <c s="72">
        <f>IF('[1]Leakage Tree Data'!M172&lt;&gt;"",'[1]Leakage Tree Data'!M172,"")</f>
      </c>
      <c s="72">
        <f>IF('[1]Leakage Tree Data'!N172&lt;&gt;"",'[1]Leakage Tree Data'!N172,"")</f>
      </c>
      <c s="72">
        <f>IF('[1]Leakage Tree Data'!O172&lt;&gt;"",'[1]Leakage Tree Data'!O172,"")</f>
        <v>1.22376844912269</v>
      </c>
      <c s="72">
        <f>IF('[1]Leakage Tree Data'!P172&lt;&gt;"",'[1]Leakage Tree Data'!P172,"")</f>
        <v>2694336.50560184</v>
      </c>
      <c s="72">
        <f>IF('[1]Leakage Tree Data'!Q172&lt;&gt;"",'[1]Leakage Tree Data'!Q172,"")</f>
      </c>
      <c s="72">
        <f>IF('[1]Leakage Tree Data'!R172&lt;&gt;"",'[1]Leakage Tree Data'!R172,"")</f>
        <v>1017625.85098267</v>
      </c>
      <c s="72">
        <f>IF('[1]Leakage Tree Data'!S172&lt;&gt;"",'[1]Leakage Tree Data'!S172,"")</f>
        <v>-2277153.65472412</v>
      </c>
      <c s="72">
        <f>IF('[1]Leakage Tree Data'!T172&lt;&gt;"",'[1]Leakage Tree Data'!T172,"")</f>
        <v>-1.99941666493186</v>
      </c>
      <c s="72">
        <f>IF('[1]Leakage Tree Data'!U172&lt;&gt;"",'[1]Leakage Tree Data'!U172,"")</f>
        <v>3294779.50570679</v>
      </c>
      <c s="72">
        <f>IF('[1]Leakage Tree Data'!V172&lt;&gt;"",'[1]Leakage Tree Data'!V172,"")</f>
        <v>1.99941666493186</v>
      </c>
      <c s="72">
        <f>IF('[1]Leakage Tree Data'!W172&lt;&gt;"",'[1]Leakage Tree Data'!W172,"")</f>
        <v>-1855949.2237854</v>
      </c>
      <c s="72">
        <f>IF('[1]Leakage Tree Data'!X172&lt;&gt;"",'[1]Leakage Tree Data'!X172,"")</f>
      </c>
      <c s="72">
        <f>IF('[1]Leakage Tree Data'!Y172&lt;&gt;"",'[1]Leakage Tree Data'!Y172,"")</f>
      </c>
      <c s="72">
        <f>IF('[1]Leakage Tree Data'!Z172&lt;&gt;"",'[1]Leakage Tree Data'!Z172,"")</f>
      </c>
      <c s="72">
        <f>IF('[1]Leakage Tree Data'!AA172&lt;&gt;"",'[1]Leakage Tree Data'!AA172,"")</f>
      </c>
      <c s="72">
        <f>IF('[1]Leakage Tree Data'!AB172&lt;&gt;"",'[1]Leakage Tree Data'!AB172,"")</f>
      </c>
      <c s="72">
        <f>IF('[1]Leakage Tree Data'!AC172&lt;&gt;"",'[1]Leakage Tree Data'!AC172,"")</f>
      </c>
      <c s="72">
        <f>IF('[1]Leakage Tree Data'!AD172&lt;&gt;"",'[1]Leakage Tree Data'!AD172,"")</f>
      </c>
      <c s="72">
        <f>IF('[1]Leakage Tree Data'!AE172&lt;&gt;"",'[1]Leakage Tree Data'!AE172,"")</f>
      </c>
      <c s="73">
        <f t="shared" si="164"/>
      </c>
      <c s="73">
        <f t="shared" si="165"/>
      </c>
      <c s="73">
        <f t="shared" si="166"/>
      </c>
      <c s="73">
        <f t="shared" si="167"/>
      </c>
      <c s="74">
        <f t="shared" si="168"/>
      </c>
      <c s="74">
        <f t="shared" si="169"/>
      </c>
      <c s="69" t="str">
        <f t="shared" si="170"/>
        <v>Total US - Toy</v>
      </c>
      <c s="69" t="str">
        <f t="shared" si="171"/>
        <v>Total US - Toy</v>
      </c>
    </row>
    <row r="274" spans="1:140" ht="15">
      <c r="A274"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141"/>
      </c>
      <c s="75">
        <f t="shared" si="142"/>
      </c>
      <c s="76">
        <f t="shared" si="143"/>
      </c>
      <c s="75">
        <f t="shared" si="144"/>
      </c>
      <c s="76">
        <f t="shared" si="145"/>
      </c>
      <c s="75">
        <f t="shared" si="146"/>
      </c>
      <c s="76">
        <f t="shared" si="147"/>
      </c>
      <c s="75">
        <f t="shared" si="148"/>
      </c>
      <c s="76">
        <f t="shared" si="149"/>
      </c>
      <c s="75">
        <f t="shared" si="150"/>
      </c>
      <c s="76">
        <f t="shared" si="151"/>
      </c>
      <c s="75">
        <f t="shared" si="152"/>
      </c>
      <c s="76">
        <f t="shared" si="153"/>
      </c>
      <c s="75">
        <f t="shared" si="154"/>
      </c>
      <c s="76">
        <f t="shared" si="155"/>
      </c>
      <c s="75">
        <f t="shared" si="156"/>
      </c>
      <c s="76">
        <f t="shared" si="157"/>
      </c>
      <c s="75">
        <f t="shared" si="158"/>
      </c>
      <c s="76">
        <f t="shared" si="159"/>
      </c>
      <c s="75">
        <f t="shared" si="160"/>
      </c>
      <c s="76">
        <f t="shared" si="161"/>
      </c>
      <c s="65" t="str">
        <f t="shared" si="162"/>
        <v>Babies R US</v>
      </c>
      <c s="65" t="str">
        <f t="shared" si="163"/>
        <v>Toy</v>
      </c>
      <c s="72" t="str">
        <f>IF('[1]Leakage Tree Data'!A173&lt;&gt;"",'[1]Leakage Tree Data'!A173,"")</f>
        <v>Total US - Babies R US</v>
      </c>
      <c s="72" t="str">
        <f>IF('[1]Leakage Tree Data'!B173&lt;&gt;"",'[1]Leakage Tree Data'!B173,"")</f>
        <v>Total US - Toy</v>
      </c>
      <c s="72">
        <f>IF('[1]Leakage Tree Data'!C173&lt;&gt;"",'[1]Leakage Tree Data'!C173,"")</f>
        <v>121171760.292236</v>
      </c>
      <c s="72">
        <f>IF('[1]Leakage Tree Data'!D173&lt;&gt;"",'[1]Leakage Tree Data'!D173,"")</f>
        <v>3476085.02423096</v>
      </c>
      <c s="72">
        <f>IF('[1]Leakage Tree Data'!E173&lt;&gt;"",'[1]Leakage Tree Data'!E173,"")</f>
        <v>2.86872536624664</v>
      </c>
      <c s="72">
        <f>IF('[1]Leakage Tree Data'!F173&lt;&gt;"",'[1]Leakage Tree Data'!F173,"")</f>
        <v>117695675.268005</v>
      </c>
      <c s="72">
        <f>IF('[1]Leakage Tree Data'!G173&lt;&gt;"",'[1]Leakage Tree Data'!G173,"")</f>
        <v>97.1312746337534</v>
      </c>
      <c s="72">
        <f>IF('[1]Leakage Tree Data'!H173&lt;&gt;"",'[1]Leakage Tree Data'!H173,"")</f>
        <v>61518209.9918823</v>
      </c>
      <c s="72" t="str">
        <f>IF('[1]Leakage Tree Data'!I173&lt;&gt;"",'[1]Leakage Tree Data'!I173,"")</f>
        <v>Toy</v>
      </c>
      <c s="72">
        <f>IF('[1]Leakage Tree Data'!J173&lt;&gt;"",'[1]Leakage Tree Data'!J173,"")</f>
      </c>
      <c s="72">
        <f>IF('[1]Leakage Tree Data'!K173&lt;&gt;"",'[1]Leakage Tree Data'!K173,"")</f>
      </c>
      <c s="72">
        <f>IF('[1]Leakage Tree Data'!L173&lt;&gt;"",'[1]Leakage Tree Data'!L173,"")</f>
      </c>
      <c s="72">
        <f>IF('[1]Leakage Tree Data'!M173&lt;&gt;"",'[1]Leakage Tree Data'!M173,"")</f>
      </c>
      <c s="72">
        <f>IF('[1]Leakage Tree Data'!N173&lt;&gt;"",'[1]Leakage Tree Data'!N173,"")</f>
      </c>
      <c s="72">
        <f>IF('[1]Leakage Tree Data'!O173&lt;&gt;"",'[1]Leakage Tree Data'!O173,"")</f>
      </c>
      <c s="72">
        <f>IF('[1]Leakage Tree Data'!P173&lt;&gt;"",'[1]Leakage Tree Data'!P173,"")</f>
      </c>
      <c s="72">
        <f>IF('[1]Leakage Tree Data'!Q173&lt;&gt;"",'[1]Leakage Tree Data'!Q173,"")</f>
      </c>
      <c s="72">
        <f>IF('[1]Leakage Tree Data'!R173&lt;&gt;"",'[1]Leakage Tree Data'!R173,"")</f>
        <v>1017625.85098267</v>
      </c>
      <c s="72">
        <f>IF('[1]Leakage Tree Data'!S173&lt;&gt;"",'[1]Leakage Tree Data'!S173,"")</f>
        <v>-905346.019958496</v>
      </c>
      <c s="72">
        <f>IF('[1]Leakage Tree Data'!T173&lt;&gt;"",'[1]Leakage Tree Data'!T173,"")</f>
        <v>-0.777783398985774</v>
      </c>
      <c s="72">
        <f>IF('[1]Leakage Tree Data'!U173&lt;&gt;"",'[1]Leakage Tree Data'!U173,"")</f>
        <v>1922971.87094116</v>
      </c>
      <c s="72">
        <f>IF('[1]Leakage Tree Data'!V173&lt;&gt;"",'[1]Leakage Tree Data'!V173,"")</f>
        <v>0.777783398985775</v>
      </c>
      <c s="72">
        <f>IF('[1]Leakage Tree Data'!W173&lt;&gt;"",'[1]Leakage Tree Data'!W173,"")</f>
        <v>-1855949.2237854</v>
      </c>
      <c s="72">
        <f>IF('[1]Leakage Tree Data'!X173&lt;&gt;"",'[1]Leakage Tree Data'!X173,"")</f>
      </c>
      <c s="72">
        <f>IF('[1]Leakage Tree Data'!Y173&lt;&gt;"",'[1]Leakage Tree Data'!Y173,"")</f>
      </c>
      <c s="72">
        <f>IF('[1]Leakage Tree Data'!Z173&lt;&gt;"",'[1]Leakage Tree Data'!Z173,"")</f>
      </c>
      <c s="72">
        <f>IF('[1]Leakage Tree Data'!AA173&lt;&gt;"",'[1]Leakage Tree Data'!AA173,"")</f>
      </c>
      <c s="72">
        <f>IF('[1]Leakage Tree Data'!AB173&lt;&gt;"",'[1]Leakage Tree Data'!AB173,"")</f>
      </c>
      <c s="72">
        <f>IF('[1]Leakage Tree Data'!AC173&lt;&gt;"",'[1]Leakage Tree Data'!AC173,"")</f>
      </c>
      <c s="72">
        <f>IF('[1]Leakage Tree Data'!AD173&lt;&gt;"",'[1]Leakage Tree Data'!AD173,"")</f>
      </c>
      <c s="72">
        <f>IF('[1]Leakage Tree Data'!AE173&lt;&gt;"",'[1]Leakage Tree Data'!AE173,"")</f>
      </c>
      <c s="73">
        <f t="shared" si="164"/>
      </c>
      <c s="73">
        <f t="shared" si="165"/>
      </c>
      <c s="73">
        <f t="shared" si="166"/>
      </c>
      <c s="73">
        <f t="shared" si="167"/>
      </c>
      <c s="74">
        <f t="shared" si="168"/>
      </c>
      <c s="74">
        <f t="shared" si="169"/>
      </c>
      <c s="69" t="str">
        <f t="shared" si="170"/>
        <v>Total US - Babies R US</v>
      </c>
      <c s="69" t="str">
        <f t="shared" si="171"/>
        <v>Total US - Toy</v>
      </c>
    </row>
    <row r="275" spans="1:140" ht="15">
      <c r="A275"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141"/>
      </c>
      <c s="75">
        <f t="shared" si="142"/>
      </c>
      <c s="76">
        <f t="shared" si="143"/>
      </c>
      <c s="75">
        <f t="shared" si="144"/>
      </c>
      <c s="76">
        <f t="shared" si="145"/>
      </c>
      <c s="75">
        <f t="shared" si="146"/>
      </c>
      <c s="76">
        <f t="shared" si="147"/>
      </c>
      <c s="75">
        <f t="shared" si="148"/>
      </c>
      <c s="76">
        <f t="shared" si="149"/>
      </c>
      <c s="75">
        <f t="shared" si="150"/>
      </c>
      <c s="76">
        <f t="shared" si="151"/>
      </c>
      <c s="75">
        <f t="shared" si="152"/>
      </c>
      <c s="76">
        <f t="shared" si="153"/>
      </c>
      <c s="75">
        <f t="shared" si="154"/>
      </c>
      <c s="76">
        <f t="shared" si="155"/>
      </c>
      <c s="75">
        <f t="shared" si="156"/>
      </c>
      <c s="76">
        <f t="shared" si="157"/>
      </c>
      <c s="75">
        <f t="shared" si="158"/>
      </c>
      <c s="76">
        <f t="shared" si="159"/>
      </c>
      <c s="75">
        <f t="shared" si="160"/>
      </c>
      <c s="76">
        <f t="shared" si="161"/>
      </c>
      <c s="65" t="str">
        <f t="shared" si="162"/>
        <v>Toys R Us</v>
      </c>
      <c s="65" t="str">
        <f t="shared" si="163"/>
        <v>Toy</v>
      </c>
      <c s="72" t="str">
        <f>IF('[1]Leakage Tree Data'!A174&lt;&gt;"",'[1]Leakage Tree Data'!A174,"")</f>
        <v>Total US - Toys R Us</v>
      </c>
      <c s="72" t="str">
        <f>IF('[1]Leakage Tree Data'!B174&lt;&gt;"",'[1]Leakage Tree Data'!B174,"")</f>
        <v>Total US - Toy</v>
      </c>
      <c s="72">
        <f>IF('[1]Leakage Tree Data'!C174&lt;&gt;"",'[1]Leakage Tree Data'!C174,"")</f>
        <v>121171760.292236</v>
      </c>
      <c s="72">
        <f>IF('[1]Leakage Tree Data'!D174&lt;&gt;"",'[1]Leakage Tree Data'!D174,"")</f>
        <v>10953941.8511963</v>
      </c>
      <c s="72">
        <f>IF('[1]Leakage Tree Data'!E174&lt;&gt;"",'[1]Leakage Tree Data'!E174,"")</f>
        <v>9.04001214868719</v>
      </c>
      <c s="72">
        <f>IF('[1]Leakage Tree Data'!F174&lt;&gt;"",'[1]Leakage Tree Data'!F174,"")</f>
        <v>110217818.44104</v>
      </c>
      <c s="72">
        <f>IF('[1]Leakage Tree Data'!G174&lt;&gt;"",'[1]Leakage Tree Data'!G174,"")</f>
        <v>90.9599878513128</v>
      </c>
      <c s="72">
        <f>IF('[1]Leakage Tree Data'!H174&lt;&gt;"",'[1]Leakage Tree Data'!H174,"")</f>
        <v>61518209.9918823</v>
      </c>
      <c s="72" t="str">
        <f>IF('[1]Leakage Tree Data'!I174&lt;&gt;"",'[1]Leakage Tree Data'!I174,"")</f>
        <v>Toy</v>
      </c>
      <c s="72">
        <f>IF('[1]Leakage Tree Data'!J174&lt;&gt;"",'[1]Leakage Tree Data'!J174,"")</f>
      </c>
      <c s="72">
        <f>IF('[1]Leakage Tree Data'!K174&lt;&gt;"",'[1]Leakage Tree Data'!K174,"")</f>
      </c>
      <c s="72">
        <f>IF('[1]Leakage Tree Data'!L174&lt;&gt;"",'[1]Leakage Tree Data'!L174,"")</f>
      </c>
      <c s="72">
        <f>IF('[1]Leakage Tree Data'!M174&lt;&gt;"",'[1]Leakage Tree Data'!M174,"")</f>
      </c>
      <c s="72">
        <f>IF('[1]Leakage Tree Data'!N174&lt;&gt;"",'[1]Leakage Tree Data'!N174,"")</f>
      </c>
      <c s="72">
        <f>IF('[1]Leakage Tree Data'!O174&lt;&gt;"",'[1]Leakage Tree Data'!O174,"")</f>
      </c>
      <c s="72">
        <f>IF('[1]Leakage Tree Data'!P174&lt;&gt;"",'[1]Leakage Tree Data'!P174,"")</f>
      </c>
      <c s="72">
        <f>IF('[1]Leakage Tree Data'!Q174&lt;&gt;"",'[1]Leakage Tree Data'!Q174,"")</f>
      </c>
      <c s="72">
        <f>IF('[1]Leakage Tree Data'!R174&lt;&gt;"",'[1]Leakage Tree Data'!R174,"")</f>
        <v>1017625.85098267</v>
      </c>
      <c s="72">
        <f>IF('[1]Leakage Tree Data'!S174&lt;&gt;"",'[1]Leakage Tree Data'!S174,"")</f>
        <v>-1779531.29528809</v>
      </c>
      <c s="72">
        <f>IF('[1]Leakage Tree Data'!T174&lt;&gt;"",'[1]Leakage Tree Data'!T174,"")</f>
        <v>-1.55760332721646</v>
      </c>
      <c s="72">
        <f>IF('[1]Leakage Tree Data'!U174&lt;&gt;"",'[1]Leakage Tree Data'!U174,"")</f>
        <v>2797157.14627075</v>
      </c>
      <c s="72">
        <f>IF('[1]Leakage Tree Data'!V174&lt;&gt;"",'[1]Leakage Tree Data'!V174,"")</f>
        <v>1.55760332721646</v>
      </c>
      <c s="72">
        <f>IF('[1]Leakage Tree Data'!W174&lt;&gt;"",'[1]Leakage Tree Data'!W174,"")</f>
        <v>-1855949.2237854</v>
      </c>
      <c s="72">
        <f>IF('[1]Leakage Tree Data'!X174&lt;&gt;"",'[1]Leakage Tree Data'!X174,"")</f>
      </c>
      <c s="72">
        <f>IF('[1]Leakage Tree Data'!Y174&lt;&gt;"",'[1]Leakage Tree Data'!Y174,"")</f>
      </c>
      <c s="72">
        <f>IF('[1]Leakage Tree Data'!Z174&lt;&gt;"",'[1]Leakage Tree Data'!Z174,"")</f>
      </c>
      <c s="72">
        <f>IF('[1]Leakage Tree Data'!AA174&lt;&gt;"",'[1]Leakage Tree Data'!AA174,"")</f>
      </c>
      <c s="72">
        <f>IF('[1]Leakage Tree Data'!AB174&lt;&gt;"",'[1]Leakage Tree Data'!AB174,"")</f>
      </c>
      <c s="72">
        <f>IF('[1]Leakage Tree Data'!AC174&lt;&gt;"",'[1]Leakage Tree Data'!AC174,"")</f>
      </c>
      <c s="72">
        <f>IF('[1]Leakage Tree Data'!AD174&lt;&gt;"",'[1]Leakage Tree Data'!AD174,"")</f>
      </c>
      <c s="72">
        <f>IF('[1]Leakage Tree Data'!AE174&lt;&gt;"",'[1]Leakage Tree Data'!AE174,"")</f>
      </c>
      <c s="73">
        <f t="shared" si="164"/>
      </c>
      <c s="73">
        <f t="shared" si="165"/>
      </c>
      <c s="73">
        <f t="shared" si="166"/>
      </c>
      <c s="73">
        <f t="shared" si="167"/>
      </c>
      <c s="74">
        <f t="shared" si="168"/>
      </c>
      <c s="74">
        <f t="shared" si="169"/>
      </c>
      <c s="69" t="str">
        <f t="shared" si="170"/>
        <v>Total US - Toys R Us</v>
      </c>
      <c s="69" t="str">
        <f t="shared" si="171"/>
        <v>Total US - Toy</v>
      </c>
    </row>
    <row r="276" spans="1:140" ht="15">
      <c r="A276"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t="str">
        <f t="shared" si="141"/>
        <v>Walmart Total</v>
      </c>
      <c s="75">
        <f t="shared" si="142"/>
        <v>120745820.055689</v>
      </c>
      <c s="76">
        <f t="shared" si="143"/>
        <v>3</v>
      </c>
      <c s="75">
        <f t="shared" si="144"/>
      </c>
      <c s="76">
        <f t="shared" si="145"/>
      </c>
      <c s="75">
        <f t="shared" si="146"/>
      </c>
      <c s="76">
        <f t="shared" si="147"/>
      </c>
      <c s="75">
        <f t="shared" si="148"/>
      </c>
      <c s="76">
        <f t="shared" si="149"/>
      </c>
      <c s="75">
        <f t="shared" si="150"/>
      </c>
      <c s="76">
        <f t="shared" si="151"/>
      </c>
      <c s="75">
        <f t="shared" si="152"/>
        <v>425036078.986669</v>
      </c>
      <c s="76">
        <f t="shared" si="153"/>
        <v>3</v>
      </c>
      <c s="75">
        <f t="shared" si="154"/>
      </c>
      <c s="76">
        <f t="shared" si="155"/>
      </c>
      <c s="75">
        <f t="shared" si="156"/>
      </c>
      <c s="76">
        <f t="shared" si="157"/>
      </c>
      <c s="75">
        <f t="shared" si="158"/>
      </c>
      <c s="76">
        <f t="shared" si="159"/>
      </c>
      <c s="75">
        <f t="shared" si="160"/>
      </c>
      <c s="76">
        <f t="shared" si="161"/>
      </c>
      <c s="65" t="str">
        <f t="shared" si="162"/>
        <v>Walmart Total</v>
      </c>
      <c s="65" t="str">
        <f t="shared" si="163"/>
        <v>Walmart Total</v>
      </c>
      <c s="72" t="str">
        <f>IF('[1]Leakage Tree Data'!A175&lt;&gt;"",'[1]Leakage Tree Data'!A175,"")</f>
        <v>Total US - Walmart Total</v>
      </c>
      <c s="72" t="str">
        <f>IF('[1]Leakage Tree Data'!B175&lt;&gt;"",'[1]Leakage Tree Data'!B175,"")</f>
        <v>Total US - Walmart Total</v>
      </c>
      <c s="72">
        <f>IF('[1]Leakage Tree Data'!C175&lt;&gt;"",'[1]Leakage Tree Data'!C175,"")</f>
        <v>121171760.292236</v>
      </c>
      <c s="72">
        <f>IF('[1]Leakage Tree Data'!D175&lt;&gt;"",'[1]Leakage Tree Data'!D175,"")</f>
        <v>100071163.895721</v>
      </c>
      <c s="72">
        <f>IF('[1]Leakage Tree Data'!E175&lt;&gt;"",'[1]Leakage Tree Data'!E175,"")</f>
        <v>82.5862095709219</v>
      </c>
      <c s="72">
        <f>IF('[1]Leakage Tree Data'!F175&lt;&gt;"",'[1]Leakage Tree Data'!F175,"")</f>
        <v>21100596.3965149</v>
      </c>
      <c s="72">
        <f>IF('[1]Leakage Tree Data'!G175&lt;&gt;"",'[1]Leakage Tree Data'!G175,"")</f>
        <v>17.4137904290781</v>
      </c>
      <c s="72">
        <f>IF('[1]Leakage Tree Data'!H175&lt;&gt;"",'[1]Leakage Tree Data'!H175,"")</f>
        <v>61518209.9918823</v>
      </c>
      <c s="72" t="str">
        <f>IF('[1]Leakage Tree Data'!I175&lt;&gt;"",'[1]Leakage Tree Data'!I175,"")</f>
        <v>Walmart Total</v>
      </c>
      <c s="72">
        <f>IF('[1]Leakage Tree Data'!J175&lt;&gt;"",'[1]Leakage Tree Data'!J175,"")</f>
        <v>57.1890528552124</v>
      </c>
      <c s="72">
        <f>IF('[1]Leakage Tree Data'!K175&lt;&gt;"",'[1]Leakage Tree Data'!K175,"")</f>
        <v>26336528.3640442</v>
      </c>
      <c s="72">
        <f>IF('[1]Leakage Tree Data'!L175&lt;&gt;"",'[1]Leakage Tree Data'!L175,"")</f>
        <v>120745820.055689</v>
      </c>
      <c s="72">
        <f>IF('[1]Leakage Tree Data'!M175&lt;&gt;"",'[1]Leakage Tree Data'!M175,"")</f>
        <v>425036078.986669</v>
      </c>
      <c s="72">
        <f>IF('[1]Leakage Tree Data'!N175&lt;&gt;"",'[1]Leakage Tree Data'!N175,"")</f>
        <v>120745820.055689</v>
      </c>
      <c s="72">
        <f>IF('[1]Leakage Tree Data'!O175&lt;&gt;"",'[1]Leakage Tree Data'!O175,"")</f>
        <v>54.6499843505786</v>
      </c>
      <c s="72">
        <f>IF('[1]Leakage Tree Data'!P175&lt;&gt;"",'[1]Leakage Tree Data'!P175,"")</f>
        <v>28720094.1393678</v>
      </c>
      <c s="72">
        <f>IF('[1]Leakage Tree Data'!Q175&lt;&gt;"",'[1]Leakage Tree Data'!Q175,"")</f>
      </c>
      <c s="72">
        <f>IF('[1]Leakage Tree Data'!R175&lt;&gt;"",'[1]Leakage Tree Data'!R175,"")</f>
        <v>1017625.85098267</v>
      </c>
      <c s="72">
        <f>IF('[1]Leakage Tree Data'!S175&lt;&gt;"",'[1]Leakage Tree Data'!S175,"")</f>
        <v>1310926.56665039</v>
      </c>
      <c s="72">
        <f>IF('[1]Leakage Tree Data'!T175&lt;&gt;"",'[1]Leakage Tree Data'!T175,"")</f>
        <v>0.391586981919474</v>
      </c>
      <c s="72">
        <f>IF('[1]Leakage Tree Data'!U175&lt;&gt;"",'[1]Leakage Tree Data'!U175,"")</f>
        <v>-293300.715667725</v>
      </c>
      <c s="72">
        <f>IF('[1]Leakage Tree Data'!V175&lt;&gt;"",'[1]Leakage Tree Data'!V175,"")</f>
        <v>-0.391586981919474</v>
      </c>
      <c s="72">
        <f>IF('[1]Leakage Tree Data'!W175&lt;&gt;"",'[1]Leakage Tree Data'!W175,"")</f>
        <v>-1855949.2237854</v>
      </c>
      <c s="72">
        <f>IF('[1]Leakage Tree Data'!X175&lt;&gt;"",'[1]Leakage Tree Data'!X175,"")</f>
      </c>
      <c s="72">
        <f>IF('[1]Leakage Tree Data'!Y175&lt;&gt;"",'[1]Leakage Tree Data'!Y175,"")</f>
        <v>-1.43434146186957</v>
      </c>
      <c s="72">
        <f>IF('[1]Leakage Tree Data'!Z175&lt;&gt;"",'[1]Leakage Tree Data'!Z175,"")</f>
        <v>114452.400512695</v>
      </c>
      <c s="72">
        <f>IF('[1]Leakage Tree Data'!AA175&lt;&gt;"",'[1]Leakage Tree Data'!AA175,"")</f>
        <v>-5716814.53856897</v>
      </c>
      <c s="72">
        <f>IF('[1]Leakage Tree Data'!AB175&lt;&gt;"",'[1]Leakage Tree Data'!AB175,"")</f>
        <v>7687823.66275263</v>
      </c>
      <c s="72">
        <f>IF('[1]Leakage Tree Data'!AC175&lt;&gt;"",'[1]Leakage Tree Data'!AC175,"")</f>
        <v>-5716814.53856897</v>
      </c>
      <c s="72">
        <f>IF('[1]Leakage Tree Data'!AD175&lt;&gt;"",'[1]Leakage Tree Data'!AD175,"")</f>
        <v>1.24734213518564</v>
      </c>
      <c s="72">
        <f>IF('[1]Leakage Tree Data'!AE175&lt;&gt;"",'[1]Leakage Tree Data'!AE175,"")</f>
      </c>
      <c s="73">
        <f t="shared" si="164"/>
        <v>425036078.986669</v>
      </c>
      <c s="73">
        <f t="shared" si="165"/>
        <v>120745820.055689</v>
      </c>
      <c s="73">
        <f t="shared" si="166"/>
        <v>7687823.66275263</v>
      </c>
      <c s="73">
        <f t="shared" si="167"/>
        <v>-5716814.53856897</v>
      </c>
      <c s="74">
        <f t="shared" si="168"/>
        <v>0.0149276373050316</v>
      </c>
      <c s="74">
        <f t="shared" si="169"/>
        <v>0.019533308940044</v>
      </c>
      <c s="69" t="str">
        <f t="shared" si="170"/>
        <v>Total US - Walmart Total</v>
      </c>
      <c s="69" t="str">
        <f t="shared" si="171"/>
        <v>Total US - Walmart Total</v>
      </c>
    </row>
    <row r="277" spans="1:140" ht="15">
      <c r="A277"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t="str">
        <f t="shared" si="141"/>
        <v>Walmart Total</v>
      </c>
      <c s="75">
        <f t="shared" si="142"/>
      </c>
      <c s="76">
        <f t="shared" si="143"/>
      </c>
      <c s="75">
        <f t="shared" si="144"/>
      </c>
      <c s="76">
        <f t="shared" si="145"/>
      </c>
      <c s="75">
        <f t="shared" si="146"/>
      </c>
      <c s="76">
        <f t="shared" si="147"/>
      </c>
      <c s="75">
        <f t="shared" si="148"/>
        <v>19735113.3166199</v>
      </c>
      <c s="76">
        <f t="shared" si="149"/>
        <v>2</v>
      </c>
      <c s="75">
        <f t="shared" si="150"/>
      </c>
      <c s="76">
        <f t="shared" si="151"/>
      </c>
      <c s="75">
        <f t="shared" si="152"/>
      </c>
      <c s="76">
        <f t="shared" si="153"/>
      </c>
      <c s="75">
        <f t="shared" si="154"/>
      </c>
      <c s="76">
        <f t="shared" si="155"/>
      </c>
      <c s="75">
        <f t="shared" si="156"/>
      </c>
      <c s="76">
        <f t="shared" si="157"/>
      </c>
      <c s="75">
        <f t="shared" si="158"/>
        <v>51416570.8754768</v>
      </c>
      <c s="76">
        <f t="shared" si="159"/>
        <v>2</v>
      </c>
      <c s="75">
        <f t="shared" si="160"/>
      </c>
      <c s="76">
        <f t="shared" si="161"/>
      </c>
      <c s="65" t="str">
        <f t="shared" si="162"/>
        <v>Walmart Division 1</v>
      </c>
      <c s="65" t="str">
        <f t="shared" si="163"/>
        <v>Walmart Total</v>
      </c>
      <c s="72" t="str">
        <f>IF('[1]Leakage Tree Data'!A176&lt;&gt;"",'[1]Leakage Tree Data'!A176,"")</f>
        <v>Total US - Walmart Division 1</v>
      </c>
      <c s="72" t="str">
        <f>IF('[1]Leakage Tree Data'!B176&lt;&gt;"",'[1]Leakage Tree Data'!B176,"")</f>
        <v>Total US - Walmart Total</v>
      </c>
      <c s="72">
        <f>IF('[1]Leakage Tree Data'!C176&lt;&gt;"",'[1]Leakage Tree Data'!C176,"")</f>
        <v>121171760.292236</v>
      </c>
      <c s="72">
        <f>IF('[1]Leakage Tree Data'!D176&lt;&gt;"",'[1]Leakage Tree Data'!D176,"")</f>
        <v>28425390.4638367</v>
      </c>
      <c s="72">
        <f>IF('[1]Leakage Tree Data'!E176&lt;&gt;"",'[1]Leakage Tree Data'!E176,"")</f>
        <v>23.4587583734706</v>
      </c>
      <c s="72">
        <f>IF('[1]Leakage Tree Data'!F176&lt;&gt;"",'[1]Leakage Tree Data'!F176,"")</f>
        <v>92746369.8283997</v>
      </c>
      <c s="72">
        <f>IF('[1]Leakage Tree Data'!G176&lt;&gt;"",'[1]Leakage Tree Data'!G176,"")</f>
        <v>76.5412416265294</v>
      </c>
      <c s="72">
        <f>IF('[1]Leakage Tree Data'!H176&lt;&gt;"",'[1]Leakage Tree Data'!H176,"")</f>
        <v>61518209.9918823</v>
      </c>
      <c s="72" t="str">
        <f>IF('[1]Leakage Tree Data'!I176&lt;&gt;"",'[1]Leakage Tree Data'!I176,"")</f>
        <v>Walmart Total</v>
      </c>
      <c s="72">
        <f>IF('[1]Leakage Tree Data'!J176&lt;&gt;"",'[1]Leakage Tree Data'!J176,"")</f>
        <v>92.4489011973394</v>
      </c>
      <c s="72">
        <f>IF('[1]Leakage Tree Data'!K176&lt;&gt;"",'[1]Leakage Tree Data'!K176,"")</f>
        <v>4645300.81811523</v>
      </c>
      <c s="72">
        <f>IF('[1]Leakage Tree Data'!L176&lt;&gt;"",'[1]Leakage Tree Data'!L176,"")</f>
        <v>19735113.3166199</v>
      </c>
      <c s="72">
        <f>IF('[1]Leakage Tree Data'!M176&lt;&gt;"",'[1]Leakage Tree Data'!M176,"")</f>
        <v>51416570.8754768</v>
      </c>
      <c s="72">
        <f>IF('[1]Leakage Tree Data'!N176&lt;&gt;"",'[1]Leakage Tree Data'!N176,"")</f>
        <v>19735113.3166199</v>
      </c>
      <c s="72">
        <f>IF('[1]Leakage Tree Data'!O176&lt;&gt;"",'[1]Leakage Tree Data'!O176,"")</f>
        <v>28.4267318606563</v>
      </c>
      <c s="72">
        <f>IF('[1]Leakage Tree Data'!P176&lt;&gt;"",'[1]Leakage Tree Data'!P176,"")</f>
        <v>5428611.82395771</v>
      </c>
      <c s="72">
        <f>IF('[1]Leakage Tree Data'!Q176&lt;&gt;"",'[1]Leakage Tree Data'!Q176,"")</f>
      </c>
      <c s="72">
        <f>IF('[1]Leakage Tree Data'!R176&lt;&gt;"",'[1]Leakage Tree Data'!R176,"")</f>
        <v>1017625.85098267</v>
      </c>
      <c s="72">
        <f>IF('[1]Leakage Tree Data'!S176&lt;&gt;"",'[1]Leakage Tree Data'!S176,"")</f>
        <v>-37260.3232421875</v>
      </c>
      <c s="72">
        <f>IF('[1]Leakage Tree Data'!T176&lt;&gt;"",'[1]Leakage Tree Data'!T176,"")</f>
        <v>-0.229690567081665</v>
      </c>
      <c s="72">
        <f>IF('[1]Leakage Tree Data'!U176&lt;&gt;"",'[1]Leakage Tree Data'!U176,"")</f>
        <v>1054886.17422485</v>
      </c>
      <c s="72">
        <f>IF('[1]Leakage Tree Data'!V176&lt;&gt;"",'[1]Leakage Tree Data'!V176,"")</f>
        <v>0.229690567081661</v>
      </c>
      <c s="72">
        <f>IF('[1]Leakage Tree Data'!W176&lt;&gt;"",'[1]Leakage Tree Data'!W176,"")</f>
        <v>-1855949.2237854</v>
      </c>
      <c s="72">
        <f>IF('[1]Leakage Tree Data'!X176&lt;&gt;"",'[1]Leakage Tree Data'!X176,"")</f>
      </c>
      <c s="72">
        <f>IF('[1]Leakage Tree Data'!Y176&lt;&gt;"",'[1]Leakage Tree Data'!Y176,"")</f>
        <v>-0.256889134949489</v>
      </c>
      <c s="72">
        <f>IF('[1]Leakage Tree Data'!Z176&lt;&gt;"",'[1]Leakage Tree Data'!Z176,"")</f>
        <v>22656.7697753906</v>
      </c>
      <c s="72">
        <f>IF('[1]Leakage Tree Data'!AA176&lt;&gt;"",'[1]Leakage Tree Data'!AA176,"")</f>
        <v>-979161.015760422</v>
      </c>
      <c s="72">
        <f>IF('[1]Leakage Tree Data'!AB176&lt;&gt;"",'[1]Leakage Tree Data'!AB176,"")</f>
        <v>8174340.80982876</v>
      </c>
      <c s="72">
        <f>IF('[1]Leakage Tree Data'!AC176&lt;&gt;"",'[1]Leakage Tree Data'!AC176,"")</f>
        <v>-979161.015760422</v>
      </c>
      <c s="72">
        <f>IF('[1]Leakage Tree Data'!AD176&lt;&gt;"",'[1]Leakage Tree Data'!AD176,"")</f>
        <v>0.950592701690329</v>
      </c>
      <c s="72">
        <f>IF('[1]Leakage Tree Data'!AE176&lt;&gt;"",'[1]Leakage Tree Data'!AE176,"")</f>
      </c>
      <c s="73">
        <f t="shared" si="164"/>
      </c>
      <c s="73">
        <f t="shared" si="165"/>
      </c>
      <c s="73">
        <f t="shared" si="166"/>
      </c>
      <c s="73">
        <f t="shared" si="167"/>
      </c>
      <c s="74">
        <f t="shared" si="168"/>
      </c>
      <c s="74">
        <f t="shared" si="169"/>
      </c>
      <c s="69" t="str">
        <f t="shared" si="170"/>
        <v>Total US - Walmart Division 1</v>
      </c>
      <c s="69" t="str">
        <f t="shared" si="171"/>
        <v>Total US - Walmart Total</v>
      </c>
    </row>
    <row r="278" spans="1:140" ht="15">
      <c r="A278"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t="str">
        <f t="shared" si="141"/>
        <v>Walmart Total</v>
      </c>
      <c s="75">
        <f t="shared" si="142"/>
      </c>
      <c s="76">
        <f t="shared" si="143"/>
      </c>
      <c s="75">
        <f t="shared" si="144"/>
      </c>
      <c s="76">
        <f t="shared" si="145"/>
      </c>
      <c s="75">
        <f t="shared" si="146"/>
      </c>
      <c s="76">
        <f t="shared" si="147"/>
      </c>
      <c s="75">
        <f t="shared" si="148"/>
        <v>6327212.34944916</v>
      </c>
      <c s="76">
        <f t="shared" si="149"/>
        <v>3</v>
      </c>
      <c s="75">
        <f t="shared" si="150"/>
      </c>
      <c s="76">
        <f t="shared" si="151"/>
      </c>
      <c s="75">
        <f t="shared" si="152"/>
      </c>
      <c s="76">
        <f t="shared" si="153"/>
      </c>
      <c s="75">
        <f t="shared" si="154"/>
      </c>
      <c s="76">
        <f t="shared" si="155"/>
      </c>
      <c s="75">
        <f t="shared" si="156"/>
      </c>
      <c s="76">
        <f t="shared" si="157"/>
      </c>
      <c s="75">
        <f t="shared" si="158"/>
        <v>20337453.6973143</v>
      </c>
      <c s="76">
        <f t="shared" si="159"/>
        <v>3</v>
      </c>
      <c s="75">
        <f t="shared" si="160"/>
      </c>
      <c s="76">
        <f t="shared" si="161"/>
      </c>
      <c s="65" t="str">
        <f t="shared" si="162"/>
        <v>Walmart Neighborhood Market</v>
      </c>
      <c s="65" t="str">
        <f t="shared" si="163"/>
        <v>Walmart Total</v>
      </c>
      <c s="72" t="str">
        <f>IF('[1]Leakage Tree Data'!A177&lt;&gt;"",'[1]Leakage Tree Data'!A177,"")</f>
        <v>Total US - Walmart Neighborhood Market</v>
      </c>
      <c s="72" t="str">
        <f>IF('[1]Leakage Tree Data'!B177&lt;&gt;"",'[1]Leakage Tree Data'!B177,"")</f>
        <v>Total US - Walmart Total</v>
      </c>
      <c s="72">
        <f>IF('[1]Leakage Tree Data'!C177&lt;&gt;"",'[1]Leakage Tree Data'!C177,"")</f>
        <v>121171760.292236</v>
      </c>
      <c s="72">
        <f>IF('[1]Leakage Tree Data'!D177&lt;&gt;"",'[1]Leakage Tree Data'!D177,"")</f>
        <v>13339301.6846008</v>
      </c>
      <c s="72">
        <f>IF('[1]Leakage Tree Data'!E177&lt;&gt;"",'[1]Leakage Tree Data'!E177,"")</f>
        <v>11.0085895033874</v>
      </c>
      <c s="72">
        <f>IF('[1]Leakage Tree Data'!F177&lt;&gt;"",'[1]Leakage Tree Data'!F177,"")</f>
        <v>107832458.607636</v>
      </c>
      <c s="72">
        <f>IF('[1]Leakage Tree Data'!G177&lt;&gt;"",'[1]Leakage Tree Data'!G177,"")</f>
        <v>88.9914104966126</v>
      </c>
      <c s="72">
        <f>IF('[1]Leakage Tree Data'!H177&lt;&gt;"",'[1]Leakage Tree Data'!H177,"")</f>
        <v>61518209.9918823</v>
      </c>
      <c s="72" t="str">
        <f>IF('[1]Leakage Tree Data'!I177&lt;&gt;"",'[1]Leakage Tree Data'!I177,"")</f>
        <v>Walmart Total</v>
      </c>
      <c s="72">
        <f>IF('[1]Leakage Tree Data'!J177&lt;&gt;"",'[1]Leakage Tree Data'!J177,"")</f>
        <v>96.7256429846532</v>
      </c>
      <c s="72">
        <f>IF('[1]Leakage Tree Data'!K177&lt;&gt;"",'[1]Leakage Tree Data'!K177,"")</f>
        <v>2014325.82458496</v>
      </c>
      <c s="72">
        <f>IF('[1]Leakage Tree Data'!L177&lt;&gt;"",'[1]Leakage Tree Data'!L177,"")</f>
        <v>6327212.34944916</v>
      </c>
      <c s="72">
        <f>IF('[1]Leakage Tree Data'!M177&lt;&gt;"",'[1]Leakage Tree Data'!M177,"")</f>
        <v>20337453.6973143</v>
      </c>
      <c s="72">
        <f>IF('[1]Leakage Tree Data'!N177&lt;&gt;"",'[1]Leakage Tree Data'!N177,"")</f>
        <v>6327212.34944916</v>
      </c>
      <c s="72">
        <f>IF('[1]Leakage Tree Data'!O177&lt;&gt;"",'[1]Leakage Tree Data'!O177,"")</f>
        <v>26.4857322675217</v>
      </c>
      <c s="72">
        <f>IF('[1]Leakage Tree Data'!P177&lt;&gt;"",'[1]Leakage Tree Data'!P177,"")</f>
        <v>2474619.57402083</v>
      </c>
      <c s="72">
        <f>IF('[1]Leakage Tree Data'!Q177&lt;&gt;"",'[1]Leakage Tree Data'!Q177,"")</f>
      </c>
      <c s="72">
        <f>IF('[1]Leakage Tree Data'!R177&lt;&gt;"",'[1]Leakage Tree Data'!R177,"")</f>
        <v>1017625.85098267</v>
      </c>
      <c s="72">
        <f>IF('[1]Leakage Tree Data'!S177&lt;&gt;"",'[1]Leakage Tree Data'!S177,"")</f>
        <v>2749527.63162231</v>
      </c>
      <c s="72">
        <f>IF('[1]Leakage Tree Data'!T177&lt;&gt;"",'[1]Leakage Tree Data'!T177,"")</f>
        <v>2.19509831373869</v>
      </c>
      <c s="72">
        <f>IF('[1]Leakage Tree Data'!U177&lt;&gt;"",'[1]Leakage Tree Data'!U177,"")</f>
        <v>-1731901.78063965</v>
      </c>
      <c s="72">
        <f>IF('[1]Leakage Tree Data'!V177&lt;&gt;"",'[1]Leakage Tree Data'!V177,"")</f>
        <v>-2.1950983137387</v>
      </c>
      <c s="72">
        <f>IF('[1]Leakage Tree Data'!W177&lt;&gt;"",'[1]Leakage Tree Data'!W177,"")</f>
        <v>-1855949.2237854</v>
      </c>
      <c s="72">
        <f>IF('[1]Leakage Tree Data'!X177&lt;&gt;"",'[1]Leakage Tree Data'!X177,"")</f>
      </c>
      <c s="72">
        <f>IF('[1]Leakage Tree Data'!Y177&lt;&gt;"",'[1]Leakage Tree Data'!Y177,"")</f>
        <v>-0.866377816029853</v>
      </c>
      <c s="72">
        <f>IF('[1]Leakage Tree Data'!Z177&lt;&gt;"",'[1]Leakage Tree Data'!Z177,"")</f>
        <v>488289.252929688</v>
      </c>
      <c s="72">
        <f>IF('[1]Leakage Tree Data'!AA177&lt;&gt;"",'[1]Leakage Tree Data'!AA177,"")</f>
        <v>1098239.21279144</v>
      </c>
      <c s="72">
        <f>IF('[1]Leakage Tree Data'!AB177&lt;&gt;"",'[1]Leakage Tree Data'!AB177,"")</f>
        <v>3905044.65318394</v>
      </c>
      <c s="72">
        <f>IF('[1]Leakage Tree Data'!AC177&lt;&gt;"",'[1]Leakage Tree Data'!AC177,"")</f>
        <v>1098239.21279144</v>
      </c>
      <c s="72">
        <f>IF('[1]Leakage Tree Data'!AD177&lt;&gt;"",'[1]Leakage Tree Data'!AD177,"")</f>
        <v>2.65716881178699</v>
      </c>
      <c s="72">
        <f>IF('[1]Leakage Tree Data'!AE177&lt;&gt;"",'[1]Leakage Tree Data'!AE177,"")</f>
      </c>
      <c s="73">
        <f t="shared" si="164"/>
      </c>
      <c s="73">
        <f t="shared" si="165"/>
      </c>
      <c s="73">
        <f t="shared" si="166"/>
      </c>
      <c s="73">
        <f t="shared" si="167"/>
      </c>
      <c s="74">
        <f t="shared" si="168"/>
      </c>
      <c s="74">
        <f t="shared" si="169"/>
      </c>
      <c s="69" t="str">
        <f t="shared" si="170"/>
        <v>Total US - Walmart Neighborhood Market</v>
      </c>
      <c s="69" t="str">
        <f t="shared" si="171"/>
        <v>Total US - Walmart Total</v>
      </c>
    </row>
    <row r="279" spans="1:140" ht="15">
      <c r="A279"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t="str">
        <f t="shared" si="141"/>
        <v>Walmart Total</v>
      </c>
      <c s="75">
        <f t="shared" si="142"/>
      </c>
      <c s="76">
        <f t="shared" si="143"/>
      </c>
      <c s="75">
        <f t="shared" si="144"/>
      </c>
      <c s="76">
        <f t="shared" si="145"/>
      </c>
      <c s="75">
        <f t="shared" si="146"/>
      </c>
      <c s="76">
        <f t="shared" si="147"/>
      </c>
      <c s="75">
        <f t="shared" si="148"/>
        <v>94683494.4788456</v>
      </c>
      <c s="76">
        <f t="shared" si="149"/>
        <v>1</v>
      </c>
      <c s="75">
        <f t="shared" si="150"/>
      </c>
      <c s="76">
        <f t="shared" si="151"/>
      </c>
      <c s="75">
        <f t="shared" si="152"/>
      </c>
      <c s="76">
        <f t="shared" si="153"/>
      </c>
      <c s="75">
        <f t="shared" si="154"/>
      </c>
      <c s="76">
        <f t="shared" si="155"/>
      </c>
      <c s="75">
        <f t="shared" si="156"/>
      </c>
      <c s="76">
        <f t="shared" si="157"/>
      </c>
      <c s="75">
        <f t="shared" si="158"/>
        <v>353282054.363447</v>
      </c>
      <c s="76">
        <f t="shared" si="159"/>
        <v>1</v>
      </c>
      <c s="75">
        <f t="shared" si="160"/>
      </c>
      <c s="76">
        <f t="shared" si="161"/>
      </c>
      <c s="65" t="str">
        <f t="shared" si="162"/>
        <v>Walmart Supercenter</v>
      </c>
      <c s="65" t="str">
        <f t="shared" si="163"/>
        <v>Walmart Total</v>
      </c>
      <c s="72" t="str">
        <f>IF('[1]Leakage Tree Data'!A178&lt;&gt;"",'[1]Leakage Tree Data'!A178,"")</f>
        <v>Total US - Walmart Supercenter</v>
      </c>
      <c s="72" t="str">
        <f>IF('[1]Leakage Tree Data'!B178&lt;&gt;"",'[1]Leakage Tree Data'!B178,"")</f>
        <v>Total US - Walmart Total</v>
      </c>
      <c s="72">
        <f>IF('[1]Leakage Tree Data'!C178&lt;&gt;"",'[1]Leakage Tree Data'!C178,"")</f>
        <v>121171760.292236</v>
      </c>
      <c s="72">
        <f>IF('[1]Leakage Tree Data'!D178&lt;&gt;"",'[1]Leakage Tree Data'!D178,"")</f>
        <v>88065615.8851013</v>
      </c>
      <c s="72">
        <f>IF('[1]Leakage Tree Data'!E178&lt;&gt;"",'[1]Leakage Tree Data'!E178,"")</f>
        <v>72.6783333614275</v>
      </c>
      <c s="72">
        <f>IF('[1]Leakage Tree Data'!F178&lt;&gt;"",'[1]Leakage Tree Data'!F178,"")</f>
        <v>33106144.407135</v>
      </c>
      <c s="72">
        <f>IF('[1]Leakage Tree Data'!G178&lt;&gt;"",'[1]Leakage Tree Data'!G178,"")</f>
        <v>27.3216666385725</v>
      </c>
      <c s="72">
        <f>IF('[1]Leakage Tree Data'!H178&lt;&gt;"",'[1]Leakage Tree Data'!H178,"")</f>
        <v>61518209.9918823</v>
      </c>
      <c s="72" t="str">
        <f>IF('[1]Leakage Tree Data'!I178&lt;&gt;"",'[1]Leakage Tree Data'!I178,"")</f>
        <v>Walmart Total</v>
      </c>
      <c s="72">
        <f>IF('[1]Leakage Tree Data'!J178&lt;&gt;"",'[1]Leakage Tree Data'!J178,"")</f>
        <v>63.9649708245446</v>
      </c>
      <c s="72">
        <f>IF('[1]Leakage Tree Data'!K178&lt;&gt;"",'[1]Leakage Tree Data'!K178,"")</f>
        <v>22168104.9187927</v>
      </c>
      <c s="72">
        <f>IF('[1]Leakage Tree Data'!L178&lt;&gt;"",'[1]Leakage Tree Data'!L178,"")</f>
        <v>94683494.4788456</v>
      </c>
      <c s="72">
        <f>IF('[1]Leakage Tree Data'!M178&lt;&gt;"",'[1]Leakage Tree Data'!M178,"")</f>
        <v>353282054.363447</v>
      </c>
      <c s="72">
        <f>IF('[1]Leakage Tree Data'!N178&lt;&gt;"",'[1]Leakage Tree Data'!N178,"")</f>
        <v>94683494.4788456</v>
      </c>
      <c s="72">
        <f>IF('[1]Leakage Tree Data'!O178&lt;&gt;"",'[1]Leakage Tree Data'!O178,"")</f>
        <v>53.5787138626071</v>
      </c>
      <c s="72">
        <f>IF('[1]Leakage Tree Data'!P178&lt;&gt;"",'[1]Leakage Tree Data'!P178,"")</f>
        <v>25190841.5506645</v>
      </c>
      <c s="72">
        <f>IF('[1]Leakage Tree Data'!Q178&lt;&gt;"",'[1]Leakage Tree Data'!Q178,"")</f>
      </c>
      <c s="72">
        <f>IF('[1]Leakage Tree Data'!R178&lt;&gt;"",'[1]Leakage Tree Data'!R178,"")</f>
        <v>1017625.85098267</v>
      </c>
      <c s="72">
        <f>IF('[1]Leakage Tree Data'!S178&lt;&gt;"",'[1]Leakage Tree Data'!S178,"")</f>
        <v>710625.85458374</v>
      </c>
      <c s="72">
        <f>IF('[1]Leakage Tree Data'!T178&lt;&gt;"",'[1]Leakage Tree Data'!T178,"")</f>
        <v>-0.024108744905206</v>
      </c>
      <c s="72">
        <f>IF('[1]Leakage Tree Data'!U178&lt;&gt;"",'[1]Leakage Tree Data'!U178,"")</f>
        <v>306999.996398926</v>
      </c>
      <c s="72">
        <f>IF('[1]Leakage Tree Data'!V178&lt;&gt;"",'[1]Leakage Tree Data'!V178,"")</f>
        <v>0.024108744905206</v>
      </c>
      <c s="72">
        <f>IF('[1]Leakage Tree Data'!W178&lt;&gt;"",'[1]Leakage Tree Data'!W178,"")</f>
        <v>-1855949.2237854</v>
      </c>
      <c s="72">
        <f>IF('[1]Leakage Tree Data'!X178&lt;&gt;"",'[1]Leakage Tree Data'!X178,"")</f>
      </c>
      <c s="72">
        <f>IF('[1]Leakage Tree Data'!Y178&lt;&gt;"",'[1]Leakage Tree Data'!Y178,"")</f>
        <v>-0.841678583930843</v>
      </c>
      <c s="72">
        <f>IF('[1]Leakage Tree Data'!Z178&lt;&gt;"",'[1]Leakage Tree Data'!Z178,"")</f>
        <v>-135385.118408203</v>
      </c>
      <c s="72">
        <f>IF('[1]Leakage Tree Data'!AA178&lt;&gt;"",'[1]Leakage Tree Data'!AA178,"")</f>
        <v>-5835892.5997529</v>
      </c>
      <c s="72">
        <f>IF('[1]Leakage Tree Data'!AB178&lt;&gt;"",'[1]Leakage Tree Data'!AB178,"")</f>
        <v>-4391561.89231443</v>
      </c>
      <c s="72">
        <f>IF('[1]Leakage Tree Data'!AC178&lt;&gt;"",'[1]Leakage Tree Data'!AC178,"")</f>
        <v>-5835892.5997529</v>
      </c>
      <c s="72">
        <f>IF('[1]Leakage Tree Data'!AD178&lt;&gt;"",'[1]Leakage Tree Data'!AD178,"")</f>
        <v>0.827684187069856</v>
      </c>
      <c s="72">
        <f>IF('[1]Leakage Tree Data'!AE178&lt;&gt;"",'[1]Leakage Tree Data'!AE178,"")</f>
      </c>
      <c s="73">
        <f t="shared" si="164"/>
      </c>
      <c s="73">
        <f t="shared" si="165"/>
      </c>
      <c s="73">
        <f t="shared" si="166"/>
      </c>
      <c s="73">
        <f t="shared" si="167"/>
      </c>
      <c s="74">
        <f t="shared" si="168"/>
      </c>
      <c s="74">
        <f t="shared" si="169"/>
      </c>
      <c s="69" t="str">
        <f t="shared" si="170"/>
        <v>Total US - Walmart Supercenter</v>
      </c>
      <c s="69" t="str">
        <f t="shared" si="171"/>
        <v>Total US - Walmart Total</v>
      </c>
    </row>
    <row r="280" spans="1:140" ht="15">
      <c r="A280"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141"/>
      </c>
      <c s="75">
        <f t="shared" si="142"/>
      </c>
      <c s="76">
        <f t="shared" si="143"/>
      </c>
      <c s="75">
        <f t="shared" si="144"/>
      </c>
      <c s="76">
        <f t="shared" si="145"/>
      </c>
      <c s="75">
        <f t="shared" si="146"/>
      </c>
      <c s="76">
        <f t="shared" si="147"/>
      </c>
      <c s="75">
        <f t="shared" si="148"/>
      </c>
      <c s="76">
        <f t="shared" si="149"/>
      </c>
      <c s="75">
        <f t="shared" si="150"/>
      </c>
      <c s="76">
        <f t="shared" si="151"/>
      </c>
      <c s="75">
        <f t="shared" si="152"/>
      </c>
      <c s="76">
        <f t="shared" si="153"/>
      </c>
      <c s="75">
        <f t="shared" si="154"/>
      </c>
      <c s="76">
        <f t="shared" si="155"/>
      </c>
      <c s="75">
        <f t="shared" si="156"/>
      </c>
      <c s="76">
        <f t="shared" si="157"/>
      </c>
      <c s="75">
        <f t="shared" si="158"/>
      </c>
      <c s="76">
        <f t="shared" si="159"/>
      </c>
      <c s="75">
        <f t="shared" si="160"/>
      </c>
      <c s="76">
        <f t="shared" si="161"/>
      </c>
      <c s="65">
        <f t="shared" si="162"/>
      </c>
      <c s="65">
        <f t="shared" si="163"/>
      </c>
      <c s="72">
        <f>IF('[1]Leakage Tree Data'!A179&lt;&gt;"",'[1]Leakage Tree Data'!A179,"")</f>
      </c>
      <c s="72">
        <f>IF('[1]Leakage Tree Data'!B179&lt;&gt;"",'[1]Leakage Tree Data'!B179,"")</f>
      </c>
      <c s="72">
        <f>IF('[1]Leakage Tree Data'!C179&lt;&gt;"",'[1]Leakage Tree Data'!C179,"")</f>
      </c>
      <c s="72">
        <f>IF('[1]Leakage Tree Data'!D179&lt;&gt;"",'[1]Leakage Tree Data'!D179,"")</f>
      </c>
      <c s="72">
        <f>IF('[1]Leakage Tree Data'!E179&lt;&gt;"",'[1]Leakage Tree Data'!E179,"")</f>
      </c>
      <c s="72">
        <f>IF('[1]Leakage Tree Data'!F179&lt;&gt;"",'[1]Leakage Tree Data'!F179,"")</f>
      </c>
      <c s="72">
        <f>IF('[1]Leakage Tree Data'!G179&lt;&gt;"",'[1]Leakage Tree Data'!G179,"")</f>
      </c>
      <c s="72">
        <f>IF('[1]Leakage Tree Data'!H179&lt;&gt;"",'[1]Leakage Tree Data'!H179,"")</f>
      </c>
      <c s="72">
        <f>IF('[1]Leakage Tree Data'!I179&lt;&gt;"",'[1]Leakage Tree Data'!I179,"")</f>
      </c>
      <c s="72">
        <f>IF('[1]Leakage Tree Data'!J179&lt;&gt;"",'[1]Leakage Tree Data'!J179,"")</f>
      </c>
      <c s="72">
        <f>IF('[1]Leakage Tree Data'!K179&lt;&gt;"",'[1]Leakage Tree Data'!K179,"")</f>
      </c>
      <c s="72">
        <f>IF('[1]Leakage Tree Data'!L179&lt;&gt;"",'[1]Leakage Tree Data'!L179,"")</f>
      </c>
      <c s="72">
        <f>IF('[1]Leakage Tree Data'!M179&lt;&gt;"",'[1]Leakage Tree Data'!M179,"")</f>
      </c>
      <c s="72">
        <f>IF('[1]Leakage Tree Data'!N179&lt;&gt;"",'[1]Leakage Tree Data'!N179,"")</f>
      </c>
      <c s="72">
        <f>IF('[1]Leakage Tree Data'!O179&lt;&gt;"",'[1]Leakage Tree Data'!O179,"")</f>
      </c>
      <c s="72">
        <f>IF('[1]Leakage Tree Data'!P179&lt;&gt;"",'[1]Leakage Tree Data'!P179,"")</f>
      </c>
      <c s="72">
        <f>IF('[1]Leakage Tree Data'!Q179&lt;&gt;"",'[1]Leakage Tree Data'!Q179,"")</f>
      </c>
      <c s="72">
        <f>IF('[1]Leakage Tree Data'!R179&lt;&gt;"",'[1]Leakage Tree Data'!R179,"")</f>
      </c>
      <c s="72">
        <f>IF('[1]Leakage Tree Data'!S179&lt;&gt;"",'[1]Leakage Tree Data'!S179,"")</f>
      </c>
      <c s="72">
        <f>IF('[1]Leakage Tree Data'!T179&lt;&gt;"",'[1]Leakage Tree Data'!T179,"")</f>
      </c>
      <c s="72">
        <f>IF('[1]Leakage Tree Data'!U179&lt;&gt;"",'[1]Leakage Tree Data'!U179,"")</f>
      </c>
      <c s="72">
        <f>IF('[1]Leakage Tree Data'!V179&lt;&gt;"",'[1]Leakage Tree Data'!V179,"")</f>
      </c>
      <c s="72">
        <f>IF('[1]Leakage Tree Data'!W179&lt;&gt;"",'[1]Leakage Tree Data'!W179,"")</f>
      </c>
      <c s="72">
        <f>IF('[1]Leakage Tree Data'!X179&lt;&gt;"",'[1]Leakage Tree Data'!X179,"")</f>
      </c>
      <c s="72">
        <f>IF('[1]Leakage Tree Data'!Y179&lt;&gt;"",'[1]Leakage Tree Data'!Y179,"")</f>
      </c>
      <c s="72">
        <f>IF('[1]Leakage Tree Data'!Z179&lt;&gt;"",'[1]Leakage Tree Data'!Z179,"")</f>
      </c>
      <c s="72">
        <f>IF('[1]Leakage Tree Data'!AA179&lt;&gt;"",'[1]Leakage Tree Data'!AA179,"")</f>
      </c>
      <c s="72">
        <f>IF('[1]Leakage Tree Data'!AB179&lt;&gt;"",'[1]Leakage Tree Data'!AB179,"")</f>
      </c>
      <c s="72">
        <f>IF('[1]Leakage Tree Data'!AC179&lt;&gt;"",'[1]Leakage Tree Data'!AC179,"")</f>
      </c>
      <c s="72">
        <f>IF('[1]Leakage Tree Data'!AD179&lt;&gt;"",'[1]Leakage Tree Data'!AD179,"")</f>
      </c>
      <c s="72">
        <f>IF('[1]Leakage Tree Data'!AE179&lt;&gt;"",'[1]Leakage Tree Data'!AE179,"")</f>
      </c>
      <c s="73">
        <f t="shared" si="164"/>
      </c>
      <c s="73">
        <f t="shared" si="165"/>
      </c>
      <c s="73">
        <f t="shared" si="166"/>
      </c>
      <c s="73">
        <f t="shared" si="167"/>
      </c>
      <c s="74">
        <f t="shared" si="168"/>
      </c>
      <c s="74">
        <f t="shared" si="169"/>
      </c>
      <c s="69">
        <f t="shared" si="170"/>
      </c>
      <c s="69">
        <f t="shared" si="171"/>
      </c>
    </row>
    <row r="281" spans="1:140" ht="15">
      <c r="A281"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141"/>
      </c>
      <c s="75">
        <f t="shared" si="142"/>
      </c>
      <c s="76">
        <f t="shared" si="143"/>
      </c>
      <c s="75">
        <f t="shared" si="144"/>
      </c>
      <c s="76">
        <f t="shared" si="145"/>
      </c>
      <c s="75">
        <f t="shared" si="146"/>
      </c>
      <c s="76">
        <f t="shared" si="147"/>
      </c>
      <c s="75">
        <f t="shared" si="148"/>
      </c>
      <c s="76">
        <f t="shared" si="149"/>
      </c>
      <c s="75">
        <f t="shared" si="150"/>
      </c>
      <c s="76">
        <f t="shared" si="151"/>
      </c>
      <c s="75">
        <f t="shared" si="152"/>
      </c>
      <c s="76">
        <f t="shared" si="153"/>
      </c>
      <c s="75">
        <f t="shared" si="154"/>
      </c>
      <c s="76">
        <f t="shared" si="155"/>
      </c>
      <c s="75">
        <f t="shared" si="156"/>
      </c>
      <c s="76">
        <f t="shared" si="157"/>
      </c>
      <c s="75">
        <f t="shared" si="158"/>
      </c>
      <c s="76">
        <f t="shared" si="159"/>
      </c>
      <c s="75">
        <f t="shared" si="160"/>
      </c>
      <c s="76">
        <f t="shared" si="161"/>
      </c>
      <c s="65">
        <f t="shared" si="162"/>
      </c>
      <c s="65">
        <f t="shared" si="163"/>
      </c>
      <c s="72">
        <f>IF('[1]Leakage Tree Data'!A180&lt;&gt;"",'[1]Leakage Tree Data'!A180,"")</f>
      </c>
      <c s="72">
        <f>IF('[1]Leakage Tree Data'!B180&lt;&gt;"",'[1]Leakage Tree Data'!B180,"")</f>
      </c>
      <c s="72">
        <f>IF('[1]Leakage Tree Data'!C180&lt;&gt;"",'[1]Leakage Tree Data'!C180,"")</f>
      </c>
      <c s="72">
        <f>IF('[1]Leakage Tree Data'!D180&lt;&gt;"",'[1]Leakage Tree Data'!D180,"")</f>
      </c>
      <c s="72">
        <f>IF('[1]Leakage Tree Data'!E180&lt;&gt;"",'[1]Leakage Tree Data'!E180,"")</f>
      </c>
      <c s="72">
        <f>IF('[1]Leakage Tree Data'!F180&lt;&gt;"",'[1]Leakage Tree Data'!F180,"")</f>
      </c>
      <c s="72">
        <f>IF('[1]Leakage Tree Data'!G180&lt;&gt;"",'[1]Leakage Tree Data'!G180,"")</f>
      </c>
      <c s="72">
        <f>IF('[1]Leakage Tree Data'!H180&lt;&gt;"",'[1]Leakage Tree Data'!H180,"")</f>
      </c>
      <c s="72">
        <f>IF('[1]Leakage Tree Data'!I180&lt;&gt;"",'[1]Leakage Tree Data'!I180,"")</f>
      </c>
      <c s="72">
        <f>IF('[1]Leakage Tree Data'!J180&lt;&gt;"",'[1]Leakage Tree Data'!J180,"")</f>
      </c>
      <c s="72">
        <f>IF('[1]Leakage Tree Data'!K180&lt;&gt;"",'[1]Leakage Tree Data'!K180,"")</f>
      </c>
      <c s="72">
        <f>IF('[1]Leakage Tree Data'!L180&lt;&gt;"",'[1]Leakage Tree Data'!L180,"")</f>
      </c>
      <c s="72">
        <f>IF('[1]Leakage Tree Data'!M180&lt;&gt;"",'[1]Leakage Tree Data'!M180,"")</f>
      </c>
      <c s="72">
        <f>IF('[1]Leakage Tree Data'!N180&lt;&gt;"",'[1]Leakage Tree Data'!N180,"")</f>
      </c>
      <c s="72">
        <f>IF('[1]Leakage Tree Data'!O180&lt;&gt;"",'[1]Leakage Tree Data'!O180,"")</f>
      </c>
      <c s="72">
        <f>IF('[1]Leakage Tree Data'!P180&lt;&gt;"",'[1]Leakage Tree Data'!P180,"")</f>
      </c>
      <c s="72">
        <f>IF('[1]Leakage Tree Data'!Q180&lt;&gt;"",'[1]Leakage Tree Data'!Q180,"")</f>
      </c>
      <c s="72">
        <f>IF('[1]Leakage Tree Data'!R180&lt;&gt;"",'[1]Leakage Tree Data'!R180,"")</f>
      </c>
      <c s="72">
        <f>IF('[1]Leakage Tree Data'!S180&lt;&gt;"",'[1]Leakage Tree Data'!S180,"")</f>
      </c>
      <c s="72">
        <f>IF('[1]Leakage Tree Data'!T180&lt;&gt;"",'[1]Leakage Tree Data'!T180,"")</f>
      </c>
      <c s="72">
        <f>IF('[1]Leakage Tree Data'!U180&lt;&gt;"",'[1]Leakage Tree Data'!U180,"")</f>
      </c>
      <c s="72">
        <f>IF('[1]Leakage Tree Data'!V180&lt;&gt;"",'[1]Leakage Tree Data'!V180,"")</f>
      </c>
      <c s="72">
        <f>IF('[1]Leakage Tree Data'!W180&lt;&gt;"",'[1]Leakage Tree Data'!W180,"")</f>
      </c>
      <c s="72">
        <f>IF('[1]Leakage Tree Data'!X180&lt;&gt;"",'[1]Leakage Tree Data'!X180,"")</f>
      </c>
      <c s="72">
        <f>IF('[1]Leakage Tree Data'!Y180&lt;&gt;"",'[1]Leakage Tree Data'!Y180,"")</f>
      </c>
      <c s="72">
        <f>IF('[1]Leakage Tree Data'!Z180&lt;&gt;"",'[1]Leakage Tree Data'!Z180,"")</f>
      </c>
      <c s="72">
        <f>IF('[1]Leakage Tree Data'!AA180&lt;&gt;"",'[1]Leakage Tree Data'!AA180,"")</f>
      </c>
      <c s="72">
        <f>IF('[1]Leakage Tree Data'!AB180&lt;&gt;"",'[1]Leakage Tree Data'!AB180,"")</f>
      </c>
      <c s="72">
        <f>IF('[1]Leakage Tree Data'!AC180&lt;&gt;"",'[1]Leakage Tree Data'!AC180,"")</f>
      </c>
      <c s="72">
        <f>IF('[1]Leakage Tree Data'!AD180&lt;&gt;"",'[1]Leakage Tree Data'!AD180,"")</f>
      </c>
      <c s="72">
        <f>IF('[1]Leakage Tree Data'!AE180&lt;&gt;"",'[1]Leakage Tree Data'!AE180,"")</f>
      </c>
      <c s="73">
        <f t="shared" si="164"/>
      </c>
      <c s="73">
        <f t="shared" si="165"/>
      </c>
      <c s="73">
        <f t="shared" si="166"/>
      </c>
      <c s="73">
        <f t="shared" si="167"/>
      </c>
      <c s="74">
        <f t="shared" si="168"/>
      </c>
      <c s="74">
        <f t="shared" si="169"/>
      </c>
      <c s="69">
        <f t="shared" si="170"/>
      </c>
      <c s="69">
        <f t="shared" si="171"/>
      </c>
    </row>
    <row r="282" spans="1:140" ht="15">
      <c r="A282"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141"/>
      </c>
      <c s="75">
        <f t="shared" si="142"/>
      </c>
      <c s="76">
        <f t="shared" si="143"/>
      </c>
      <c s="75">
        <f t="shared" si="144"/>
      </c>
      <c s="76">
        <f t="shared" si="145"/>
      </c>
      <c s="75">
        <f t="shared" si="146"/>
      </c>
      <c s="76">
        <f t="shared" si="147"/>
      </c>
      <c s="75">
        <f t="shared" si="148"/>
      </c>
      <c s="76">
        <f t="shared" si="149"/>
      </c>
      <c s="75">
        <f t="shared" si="150"/>
      </c>
      <c s="76">
        <f t="shared" si="151"/>
      </c>
      <c s="75">
        <f t="shared" si="152"/>
      </c>
      <c s="76">
        <f t="shared" si="153"/>
      </c>
      <c s="75">
        <f t="shared" si="154"/>
      </c>
      <c s="76">
        <f t="shared" si="155"/>
      </c>
      <c s="75">
        <f t="shared" si="156"/>
      </c>
      <c s="76">
        <f t="shared" si="157"/>
      </c>
      <c s="75">
        <f t="shared" si="158"/>
      </c>
      <c s="76">
        <f t="shared" si="159"/>
      </c>
      <c s="75">
        <f t="shared" si="160"/>
      </c>
      <c s="76">
        <f t="shared" si="161"/>
      </c>
      <c s="65">
        <f t="shared" si="162"/>
      </c>
      <c s="65">
        <f t="shared" si="163"/>
      </c>
      <c s="72">
        <f>IF('[1]Leakage Tree Data'!A181&lt;&gt;"",'[1]Leakage Tree Data'!A181,"")</f>
      </c>
      <c s="72">
        <f>IF('[1]Leakage Tree Data'!B181&lt;&gt;"",'[1]Leakage Tree Data'!B181,"")</f>
      </c>
      <c s="72">
        <f>IF('[1]Leakage Tree Data'!C181&lt;&gt;"",'[1]Leakage Tree Data'!C181,"")</f>
      </c>
      <c s="72">
        <f>IF('[1]Leakage Tree Data'!D181&lt;&gt;"",'[1]Leakage Tree Data'!D181,"")</f>
      </c>
      <c s="72">
        <f>IF('[1]Leakage Tree Data'!E181&lt;&gt;"",'[1]Leakage Tree Data'!E181,"")</f>
      </c>
      <c s="72">
        <f>IF('[1]Leakage Tree Data'!F181&lt;&gt;"",'[1]Leakage Tree Data'!F181,"")</f>
      </c>
      <c s="72">
        <f>IF('[1]Leakage Tree Data'!G181&lt;&gt;"",'[1]Leakage Tree Data'!G181,"")</f>
      </c>
      <c s="72">
        <f>IF('[1]Leakage Tree Data'!H181&lt;&gt;"",'[1]Leakage Tree Data'!H181,"")</f>
      </c>
      <c s="72">
        <f>IF('[1]Leakage Tree Data'!I181&lt;&gt;"",'[1]Leakage Tree Data'!I181,"")</f>
      </c>
      <c s="72">
        <f>IF('[1]Leakage Tree Data'!J181&lt;&gt;"",'[1]Leakage Tree Data'!J181,"")</f>
      </c>
      <c s="72">
        <f>IF('[1]Leakage Tree Data'!K181&lt;&gt;"",'[1]Leakage Tree Data'!K181,"")</f>
      </c>
      <c s="72">
        <f>IF('[1]Leakage Tree Data'!L181&lt;&gt;"",'[1]Leakage Tree Data'!L181,"")</f>
      </c>
      <c s="72">
        <f>IF('[1]Leakage Tree Data'!M181&lt;&gt;"",'[1]Leakage Tree Data'!M181,"")</f>
      </c>
      <c s="72">
        <f>IF('[1]Leakage Tree Data'!N181&lt;&gt;"",'[1]Leakage Tree Data'!N181,"")</f>
      </c>
      <c s="72">
        <f>IF('[1]Leakage Tree Data'!O181&lt;&gt;"",'[1]Leakage Tree Data'!O181,"")</f>
      </c>
      <c s="72">
        <f>IF('[1]Leakage Tree Data'!P181&lt;&gt;"",'[1]Leakage Tree Data'!P181,"")</f>
      </c>
      <c s="72">
        <f>IF('[1]Leakage Tree Data'!Q181&lt;&gt;"",'[1]Leakage Tree Data'!Q181,"")</f>
      </c>
      <c s="72">
        <f>IF('[1]Leakage Tree Data'!R181&lt;&gt;"",'[1]Leakage Tree Data'!R181,"")</f>
      </c>
      <c s="72">
        <f>IF('[1]Leakage Tree Data'!S181&lt;&gt;"",'[1]Leakage Tree Data'!S181,"")</f>
      </c>
      <c s="72">
        <f>IF('[1]Leakage Tree Data'!T181&lt;&gt;"",'[1]Leakage Tree Data'!T181,"")</f>
      </c>
      <c s="72">
        <f>IF('[1]Leakage Tree Data'!U181&lt;&gt;"",'[1]Leakage Tree Data'!U181,"")</f>
      </c>
      <c s="72">
        <f>IF('[1]Leakage Tree Data'!V181&lt;&gt;"",'[1]Leakage Tree Data'!V181,"")</f>
      </c>
      <c s="72">
        <f>IF('[1]Leakage Tree Data'!W181&lt;&gt;"",'[1]Leakage Tree Data'!W181,"")</f>
      </c>
      <c s="72">
        <f>IF('[1]Leakage Tree Data'!X181&lt;&gt;"",'[1]Leakage Tree Data'!X181,"")</f>
      </c>
      <c s="72">
        <f>IF('[1]Leakage Tree Data'!Y181&lt;&gt;"",'[1]Leakage Tree Data'!Y181,"")</f>
      </c>
      <c s="72">
        <f>IF('[1]Leakage Tree Data'!Z181&lt;&gt;"",'[1]Leakage Tree Data'!Z181,"")</f>
      </c>
      <c s="72">
        <f>IF('[1]Leakage Tree Data'!AA181&lt;&gt;"",'[1]Leakage Tree Data'!AA181,"")</f>
      </c>
      <c s="72">
        <f>IF('[1]Leakage Tree Data'!AB181&lt;&gt;"",'[1]Leakage Tree Data'!AB181,"")</f>
      </c>
      <c s="72">
        <f>IF('[1]Leakage Tree Data'!AC181&lt;&gt;"",'[1]Leakage Tree Data'!AC181,"")</f>
      </c>
      <c s="72">
        <f>IF('[1]Leakage Tree Data'!AD181&lt;&gt;"",'[1]Leakage Tree Data'!AD181,"")</f>
      </c>
      <c s="72">
        <f>IF('[1]Leakage Tree Data'!AE181&lt;&gt;"",'[1]Leakage Tree Data'!AE181,"")</f>
      </c>
      <c s="73">
        <f t="shared" si="164"/>
      </c>
      <c s="73">
        <f t="shared" si="165"/>
      </c>
      <c s="73">
        <f t="shared" si="166"/>
      </c>
      <c s="73">
        <f t="shared" si="167"/>
      </c>
      <c s="74">
        <f t="shared" si="168"/>
      </c>
      <c s="74">
        <f t="shared" si="169"/>
      </c>
      <c s="69">
        <f t="shared" si="170"/>
      </c>
      <c s="69">
        <f t="shared" si="171"/>
      </c>
    </row>
    <row r="283" spans="1:140" ht="15">
      <c r="A283"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141"/>
      </c>
      <c s="75">
        <f t="shared" si="142"/>
      </c>
      <c s="76">
        <f t="shared" si="143"/>
      </c>
      <c s="75">
        <f t="shared" si="144"/>
      </c>
      <c s="76">
        <f t="shared" si="145"/>
      </c>
      <c s="75">
        <f t="shared" si="146"/>
      </c>
      <c s="76">
        <f t="shared" si="147"/>
      </c>
      <c s="75">
        <f t="shared" si="148"/>
      </c>
      <c s="76">
        <f t="shared" si="149"/>
      </c>
      <c s="75">
        <f t="shared" si="150"/>
      </c>
      <c s="76">
        <f t="shared" si="151"/>
      </c>
      <c s="75">
        <f t="shared" si="152"/>
      </c>
      <c s="76">
        <f t="shared" si="153"/>
      </c>
      <c s="75">
        <f t="shared" si="154"/>
      </c>
      <c s="76">
        <f t="shared" si="155"/>
      </c>
      <c s="75">
        <f t="shared" si="156"/>
      </c>
      <c s="76">
        <f t="shared" si="157"/>
      </c>
      <c s="75">
        <f t="shared" si="158"/>
      </c>
      <c s="76">
        <f t="shared" si="159"/>
      </c>
      <c s="75">
        <f t="shared" si="160"/>
      </c>
      <c s="76">
        <f t="shared" si="161"/>
      </c>
      <c s="65">
        <f t="shared" si="162"/>
      </c>
      <c s="65">
        <f t="shared" si="163"/>
      </c>
      <c s="72">
        <f>IF('[1]Leakage Tree Data'!A182&lt;&gt;"",'[1]Leakage Tree Data'!A182,"")</f>
      </c>
      <c s="72">
        <f>IF('[1]Leakage Tree Data'!B182&lt;&gt;"",'[1]Leakage Tree Data'!B182,"")</f>
      </c>
      <c s="72">
        <f>IF('[1]Leakage Tree Data'!C182&lt;&gt;"",'[1]Leakage Tree Data'!C182,"")</f>
      </c>
      <c s="72">
        <f>IF('[1]Leakage Tree Data'!D182&lt;&gt;"",'[1]Leakage Tree Data'!D182,"")</f>
      </c>
      <c s="72">
        <f>IF('[1]Leakage Tree Data'!E182&lt;&gt;"",'[1]Leakage Tree Data'!E182,"")</f>
      </c>
      <c s="72">
        <f>IF('[1]Leakage Tree Data'!F182&lt;&gt;"",'[1]Leakage Tree Data'!F182,"")</f>
      </c>
      <c s="72">
        <f>IF('[1]Leakage Tree Data'!G182&lt;&gt;"",'[1]Leakage Tree Data'!G182,"")</f>
      </c>
      <c s="72">
        <f>IF('[1]Leakage Tree Data'!H182&lt;&gt;"",'[1]Leakage Tree Data'!H182,"")</f>
      </c>
      <c s="72">
        <f>IF('[1]Leakage Tree Data'!I182&lt;&gt;"",'[1]Leakage Tree Data'!I182,"")</f>
      </c>
      <c s="72">
        <f>IF('[1]Leakage Tree Data'!J182&lt;&gt;"",'[1]Leakage Tree Data'!J182,"")</f>
      </c>
      <c s="72">
        <f>IF('[1]Leakage Tree Data'!K182&lt;&gt;"",'[1]Leakage Tree Data'!K182,"")</f>
      </c>
      <c s="72">
        <f>IF('[1]Leakage Tree Data'!L182&lt;&gt;"",'[1]Leakage Tree Data'!L182,"")</f>
      </c>
      <c s="72">
        <f>IF('[1]Leakage Tree Data'!M182&lt;&gt;"",'[1]Leakage Tree Data'!M182,"")</f>
      </c>
      <c s="72">
        <f>IF('[1]Leakage Tree Data'!N182&lt;&gt;"",'[1]Leakage Tree Data'!N182,"")</f>
      </c>
      <c s="72">
        <f>IF('[1]Leakage Tree Data'!O182&lt;&gt;"",'[1]Leakage Tree Data'!O182,"")</f>
      </c>
      <c s="72">
        <f>IF('[1]Leakage Tree Data'!P182&lt;&gt;"",'[1]Leakage Tree Data'!P182,"")</f>
      </c>
      <c s="72">
        <f>IF('[1]Leakage Tree Data'!Q182&lt;&gt;"",'[1]Leakage Tree Data'!Q182,"")</f>
      </c>
      <c s="72">
        <f>IF('[1]Leakage Tree Data'!R182&lt;&gt;"",'[1]Leakage Tree Data'!R182,"")</f>
      </c>
      <c s="72">
        <f>IF('[1]Leakage Tree Data'!S182&lt;&gt;"",'[1]Leakage Tree Data'!S182,"")</f>
      </c>
      <c s="72">
        <f>IF('[1]Leakage Tree Data'!T182&lt;&gt;"",'[1]Leakage Tree Data'!T182,"")</f>
      </c>
      <c s="72">
        <f>IF('[1]Leakage Tree Data'!U182&lt;&gt;"",'[1]Leakage Tree Data'!U182,"")</f>
      </c>
      <c s="72">
        <f>IF('[1]Leakage Tree Data'!V182&lt;&gt;"",'[1]Leakage Tree Data'!V182,"")</f>
      </c>
      <c s="72">
        <f>IF('[1]Leakage Tree Data'!W182&lt;&gt;"",'[1]Leakage Tree Data'!W182,"")</f>
      </c>
      <c s="72">
        <f>IF('[1]Leakage Tree Data'!X182&lt;&gt;"",'[1]Leakage Tree Data'!X182,"")</f>
      </c>
      <c s="72">
        <f>IF('[1]Leakage Tree Data'!Y182&lt;&gt;"",'[1]Leakage Tree Data'!Y182,"")</f>
      </c>
      <c s="72">
        <f>IF('[1]Leakage Tree Data'!Z182&lt;&gt;"",'[1]Leakage Tree Data'!Z182,"")</f>
      </c>
      <c s="72">
        <f>IF('[1]Leakage Tree Data'!AA182&lt;&gt;"",'[1]Leakage Tree Data'!AA182,"")</f>
      </c>
      <c s="72">
        <f>IF('[1]Leakage Tree Data'!AB182&lt;&gt;"",'[1]Leakage Tree Data'!AB182,"")</f>
      </c>
      <c s="72">
        <f>IF('[1]Leakage Tree Data'!AC182&lt;&gt;"",'[1]Leakage Tree Data'!AC182,"")</f>
      </c>
      <c s="72">
        <f>IF('[1]Leakage Tree Data'!AD182&lt;&gt;"",'[1]Leakage Tree Data'!AD182,"")</f>
      </c>
      <c s="72">
        <f>IF('[1]Leakage Tree Data'!AE182&lt;&gt;"",'[1]Leakage Tree Data'!AE182,"")</f>
      </c>
      <c s="73">
        <f t="shared" si="164"/>
      </c>
      <c s="73">
        <f t="shared" si="165"/>
      </c>
      <c s="73">
        <f t="shared" si="166"/>
      </c>
      <c s="73">
        <f t="shared" si="167"/>
      </c>
      <c s="74">
        <f t="shared" si="168"/>
      </c>
      <c s="74">
        <f t="shared" si="169"/>
      </c>
      <c s="69">
        <f t="shared" si="170"/>
      </c>
      <c s="69">
        <f t="shared" si="171"/>
      </c>
    </row>
    <row r="284" spans="1:140" s="92" customFormat="1" ht="15">
      <c r="A284"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141"/>
      </c>
      <c s="75">
        <f t="shared" si="142"/>
      </c>
      <c s="76">
        <f t="shared" si="143"/>
      </c>
      <c s="75">
        <f t="shared" si="144"/>
      </c>
      <c s="76">
        <f t="shared" si="145"/>
      </c>
      <c s="75">
        <f t="shared" si="146"/>
      </c>
      <c s="76">
        <f t="shared" si="147"/>
      </c>
      <c s="75">
        <f t="shared" si="148"/>
      </c>
      <c s="76">
        <f t="shared" si="149"/>
      </c>
      <c s="75">
        <f t="shared" si="150"/>
      </c>
      <c s="76">
        <f t="shared" si="151"/>
      </c>
      <c s="75">
        <f t="shared" si="152"/>
      </c>
      <c s="76">
        <f t="shared" si="153"/>
      </c>
      <c s="75">
        <f t="shared" si="154"/>
      </c>
      <c s="76">
        <f t="shared" si="155"/>
      </c>
      <c s="75">
        <f t="shared" si="156"/>
      </c>
      <c s="76">
        <f t="shared" si="157"/>
      </c>
      <c s="75">
        <f t="shared" si="158"/>
      </c>
      <c s="76">
        <f t="shared" si="159"/>
      </c>
      <c s="75">
        <f t="shared" si="160"/>
      </c>
      <c s="76">
        <f t="shared" si="161"/>
      </c>
      <c s="65">
        <f t="shared" si="162"/>
      </c>
      <c s="65">
        <f t="shared" si="163"/>
      </c>
      <c s="72">
        <f>IF('[1]Leakage Tree Data'!A183&lt;&gt;"",'[1]Leakage Tree Data'!A183,"")</f>
      </c>
      <c s="72">
        <f>IF('[1]Leakage Tree Data'!B183&lt;&gt;"",'[1]Leakage Tree Data'!B183,"")</f>
      </c>
      <c s="72">
        <f>IF('[1]Leakage Tree Data'!C183&lt;&gt;"",'[1]Leakage Tree Data'!C183,"")</f>
      </c>
      <c s="72">
        <f>IF('[1]Leakage Tree Data'!D183&lt;&gt;"",'[1]Leakage Tree Data'!D183,"")</f>
      </c>
      <c s="72">
        <f>IF('[1]Leakage Tree Data'!E183&lt;&gt;"",'[1]Leakage Tree Data'!E183,"")</f>
      </c>
      <c s="72">
        <f>IF('[1]Leakage Tree Data'!F183&lt;&gt;"",'[1]Leakage Tree Data'!F183,"")</f>
      </c>
      <c s="72">
        <f>IF('[1]Leakage Tree Data'!G183&lt;&gt;"",'[1]Leakage Tree Data'!G183,"")</f>
      </c>
      <c s="72">
        <f>IF('[1]Leakage Tree Data'!H183&lt;&gt;"",'[1]Leakage Tree Data'!H183,"")</f>
      </c>
      <c s="72">
        <f>IF('[1]Leakage Tree Data'!I183&lt;&gt;"",'[1]Leakage Tree Data'!I183,"")</f>
      </c>
      <c s="72">
        <f>IF('[1]Leakage Tree Data'!J183&lt;&gt;"",'[1]Leakage Tree Data'!J183,"")</f>
      </c>
      <c s="72">
        <f>IF('[1]Leakage Tree Data'!K183&lt;&gt;"",'[1]Leakage Tree Data'!K183,"")</f>
      </c>
      <c s="72">
        <f>IF('[1]Leakage Tree Data'!L183&lt;&gt;"",'[1]Leakage Tree Data'!L183,"")</f>
      </c>
      <c s="72">
        <f>IF('[1]Leakage Tree Data'!M183&lt;&gt;"",'[1]Leakage Tree Data'!M183,"")</f>
      </c>
      <c s="72">
        <f>IF('[1]Leakage Tree Data'!N183&lt;&gt;"",'[1]Leakage Tree Data'!N183,"")</f>
      </c>
      <c s="72">
        <f>IF('[1]Leakage Tree Data'!O183&lt;&gt;"",'[1]Leakage Tree Data'!O183,"")</f>
      </c>
      <c s="72">
        <f>IF('[1]Leakage Tree Data'!P183&lt;&gt;"",'[1]Leakage Tree Data'!P183,"")</f>
      </c>
      <c s="72">
        <f>IF('[1]Leakage Tree Data'!Q183&lt;&gt;"",'[1]Leakage Tree Data'!Q183,"")</f>
      </c>
      <c s="72">
        <f>IF('[1]Leakage Tree Data'!R183&lt;&gt;"",'[1]Leakage Tree Data'!R183,"")</f>
      </c>
      <c s="72">
        <f>IF('[1]Leakage Tree Data'!S183&lt;&gt;"",'[1]Leakage Tree Data'!S183,"")</f>
      </c>
      <c s="72">
        <f>IF('[1]Leakage Tree Data'!T183&lt;&gt;"",'[1]Leakage Tree Data'!T183,"")</f>
      </c>
      <c s="72">
        <f>IF('[1]Leakage Tree Data'!U183&lt;&gt;"",'[1]Leakage Tree Data'!U183,"")</f>
      </c>
      <c s="72">
        <f>IF('[1]Leakage Tree Data'!V183&lt;&gt;"",'[1]Leakage Tree Data'!V183,"")</f>
      </c>
      <c s="72">
        <f>IF('[1]Leakage Tree Data'!W183&lt;&gt;"",'[1]Leakage Tree Data'!W183,"")</f>
      </c>
      <c s="72">
        <f>IF('[1]Leakage Tree Data'!X183&lt;&gt;"",'[1]Leakage Tree Data'!X183,"")</f>
      </c>
      <c s="72">
        <f>IF('[1]Leakage Tree Data'!Y183&lt;&gt;"",'[1]Leakage Tree Data'!Y183,"")</f>
      </c>
      <c s="72">
        <f>IF('[1]Leakage Tree Data'!Z183&lt;&gt;"",'[1]Leakage Tree Data'!Z183,"")</f>
      </c>
      <c s="72">
        <f>IF('[1]Leakage Tree Data'!AA183&lt;&gt;"",'[1]Leakage Tree Data'!AA183,"")</f>
      </c>
      <c s="72">
        <f>IF('[1]Leakage Tree Data'!AB183&lt;&gt;"",'[1]Leakage Tree Data'!AB183,"")</f>
      </c>
      <c s="72">
        <f>IF('[1]Leakage Tree Data'!AC183&lt;&gt;"",'[1]Leakage Tree Data'!AC183,"")</f>
      </c>
      <c s="72">
        <f>IF('[1]Leakage Tree Data'!AD183&lt;&gt;"",'[1]Leakage Tree Data'!AD183,"")</f>
      </c>
      <c s="72">
        <f>IF('[1]Leakage Tree Data'!AE183&lt;&gt;"",'[1]Leakage Tree Data'!AE183,"")</f>
      </c>
      <c s="73">
        <f t="shared" si="164"/>
      </c>
      <c s="73">
        <f t="shared" si="165"/>
      </c>
      <c s="73">
        <f t="shared" si="166"/>
      </c>
      <c s="73">
        <f t="shared" si="167"/>
      </c>
      <c s="74">
        <f t="shared" si="168"/>
      </c>
      <c s="74">
        <f t="shared" si="169"/>
      </c>
      <c s="69">
        <f t="shared" si="170"/>
      </c>
      <c s="69">
        <f t="shared" si="171"/>
      </c>
    </row>
    <row r="285" spans="1:140" s="92" customFormat="1" ht="15">
      <c r="A285"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141"/>
      </c>
      <c s="75">
        <f t="shared" si="142"/>
      </c>
      <c s="76">
        <f t="shared" si="143"/>
      </c>
      <c s="75">
        <f t="shared" si="144"/>
      </c>
      <c s="76">
        <f t="shared" si="145"/>
      </c>
      <c s="75">
        <f t="shared" si="146"/>
      </c>
      <c s="76">
        <f t="shared" si="147"/>
      </c>
      <c s="75">
        <f t="shared" si="148"/>
      </c>
      <c s="76">
        <f t="shared" si="149"/>
      </c>
      <c s="75">
        <f t="shared" si="150"/>
      </c>
      <c s="76">
        <f t="shared" si="151"/>
      </c>
      <c s="75">
        <f t="shared" si="152"/>
      </c>
      <c s="76">
        <f t="shared" si="153"/>
      </c>
      <c s="75">
        <f t="shared" si="154"/>
      </c>
      <c s="76">
        <f t="shared" si="155"/>
      </c>
      <c s="75">
        <f t="shared" si="156"/>
      </c>
      <c s="76">
        <f t="shared" si="157"/>
      </c>
      <c s="75">
        <f t="shared" si="158"/>
      </c>
      <c s="76">
        <f t="shared" si="159"/>
      </c>
      <c s="75">
        <f t="shared" si="160"/>
      </c>
      <c s="76">
        <f t="shared" si="161"/>
      </c>
      <c s="65">
        <f t="shared" si="162"/>
      </c>
      <c s="65">
        <f t="shared" si="163"/>
      </c>
      <c s="72">
        <f>IF('[1]Leakage Tree Data'!A184&lt;&gt;"",'[1]Leakage Tree Data'!A184,"")</f>
      </c>
      <c s="72">
        <f>IF('[1]Leakage Tree Data'!B184&lt;&gt;"",'[1]Leakage Tree Data'!B184,"")</f>
      </c>
      <c s="72">
        <f>IF('[1]Leakage Tree Data'!C184&lt;&gt;"",'[1]Leakage Tree Data'!C184,"")</f>
      </c>
      <c s="72">
        <f>IF('[1]Leakage Tree Data'!D184&lt;&gt;"",'[1]Leakage Tree Data'!D184,"")</f>
      </c>
      <c s="72">
        <f>IF('[1]Leakage Tree Data'!E184&lt;&gt;"",'[1]Leakage Tree Data'!E184,"")</f>
      </c>
      <c s="72">
        <f>IF('[1]Leakage Tree Data'!F184&lt;&gt;"",'[1]Leakage Tree Data'!F184,"")</f>
      </c>
      <c s="72">
        <f>IF('[1]Leakage Tree Data'!G184&lt;&gt;"",'[1]Leakage Tree Data'!G184,"")</f>
      </c>
      <c s="72">
        <f>IF('[1]Leakage Tree Data'!H184&lt;&gt;"",'[1]Leakage Tree Data'!H184,"")</f>
      </c>
      <c s="72">
        <f>IF('[1]Leakage Tree Data'!I184&lt;&gt;"",'[1]Leakage Tree Data'!I184,"")</f>
      </c>
      <c s="72">
        <f>IF('[1]Leakage Tree Data'!J184&lt;&gt;"",'[1]Leakage Tree Data'!J184,"")</f>
      </c>
      <c s="72">
        <f>IF('[1]Leakage Tree Data'!K184&lt;&gt;"",'[1]Leakage Tree Data'!K184,"")</f>
      </c>
      <c s="72">
        <f>IF('[1]Leakage Tree Data'!L184&lt;&gt;"",'[1]Leakage Tree Data'!L184,"")</f>
      </c>
      <c s="72">
        <f>IF('[1]Leakage Tree Data'!M184&lt;&gt;"",'[1]Leakage Tree Data'!M184,"")</f>
      </c>
      <c s="72">
        <f>IF('[1]Leakage Tree Data'!N184&lt;&gt;"",'[1]Leakage Tree Data'!N184,"")</f>
      </c>
      <c s="72">
        <f>IF('[1]Leakage Tree Data'!O184&lt;&gt;"",'[1]Leakage Tree Data'!O184,"")</f>
      </c>
      <c s="72">
        <f>IF('[1]Leakage Tree Data'!P184&lt;&gt;"",'[1]Leakage Tree Data'!P184,"")</f>
      </c>
      <c s="72">
        <f>IF('[1]Leakage Tree Data'!Q184&lt;&gt;"",'[1]Leakage Tree Data'!Q184,"")</f>
      </c>
      <c s="72">
        <f>IF('[1]Leakage Tree Data'!R184&lt;&gt;"",'[1]Leakage Tree Data'!R184,"")</f>
      </c>
      <c s="72">
        <f>IF('[1]Leakage Tree Data'!S184&lt;&gt;"",'[1]Leakage Tree Data'!S184,"")</f>
      </c>
      <c s="72">
        <f>IF('[1]Leakage Tree Data'!T184&lt;&gt;"",'[1]Leakage Tree Data'!T184,"")</f>
      </c>
      <c s="72">
        <f>IF('[1]Leakage Tree Data'!U184&lt;&gt;"",'[1]Leakage Tree Data'!U184,"")</f>
      </c>
      <c s="72">
        <f>IF('[1]Leakage Tree Data'!V184&lt;&gt;"",'[1]Leakage Tree Data'!V184,"")</f>
      </c>
      <c s="72">
        <f>IF('[1]Leakage Tree Data'!W184&lt;&gt;"",'[1]Leakage Tree Data'!W184,"")</f>
      </c>
      <c s="72">
        <f>IF('[1]Leakage Tree Data'!X184&lt;&gt;"",'[1]Leakage Tree Data'!X184,"")</f>
      </c>
      <c s="72">
        <f>IF('[1]Leakage Tree Data'!Y184&lt;&gt;"",'[1]Leakage Tree Data'!Y184,"")</f>
      </c>
      <c s="72">
        <f>IF('[1]Leakage Tree Data'!Z184&lt;&gt;"",'[1]Leakage Tree Data'!Z184,"")</f>
      </c>
      <c s="72">
        <f>IF('[1]Leakage Tree Data'!AA184&lt;&gt;"",'[1]Leakage Tree Data'!AA184,"")</f>
      </c>
      <c s="72">
        <f>IF('[1]Leakage Tree Data'!AB184&lt;&gt;"",'[1]Leakage Tree Data'!AB184,"")</f>
      </c>
      <c s="72">
        <f>IF('[1]Leakage Tree Data'!AC184&lt;&gt;"",'[1]Leakage Tree Data'!AC184,"")</f>
      </c>
      <c s="72">
        <f>IF('[1]Leakage Tree Data'!AD184&lt;&gt;"",'[1]Leakage Tree Data'!AD184,"")</f>
      </c>
      <c s="72">
        <f>IF('[1]Leakage Tree Data'!AE184&lt;&gt;"",'[1]Leakage Tree Data'!AE184,"")</f>
      </c>
      <c s="73">
        <f t="shared" si="164"/>
      </c>
      <c s="73">
        <f t="shared" si="165"/>
      </c>
      <c s="73">
        <f t="shared" si="166"/>
      </c>
      <c s="73">
        <f t="shared" si="167"/>
      </c>
      <c s="74">
        <f t="shared" si="168"/>
      </c>
      <c s="74">
        <f t="shared" si="169"/>
      </c>
      <c s="69">
        <f t="shared" si="170"/>
      </c>
      <c s="69">
        <f t="shared" si="171"/>
      </c>
    </row>
    <row r="286" spans="1:140" s="92" customFormat="1" ht="15">
      <c r="A286"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141"/>
      </c>
      <c s="75">
        <f t="shared" si="142"/>
      </c>
      <c s="76">
        <f t="shared" si="143"/>
      </c>
      <c s="75">
        <f t="shared" si="144"/>
      </c>
      <c s="76">
        <f t="shared" si="145"/>
      </c>
      <c s="75">
        <f t="shared" si="146"/>
      </c>
      <c s="76">
        <f t="shared" si="147"/>
      </c>
      <c s="75">
        <f t="shared" si="148"/>
      </c>
      <c s="76">
        <f t="shared" si="149"/>
      </c>
      <c s="75">
        <f t="shared" si="150"/>
      </c>
      <c s="76">
        <f t="shared" si="151"/>
      </c>
      <c s="75">
        <f t="shared" si="152"/>
      </c>
      <c s="76">
        <f t="shared" si="153"/>
      </c>
      <c s="75">
        <f t="shared" si="154"/>
      </c>
      <c s="76">
        <f t="shared" si="155"/>
      </c>
      <c s="75">
        <f t="shared" si="156"/>
      </c>
      <c s="76">
        <f t="shared" si="157"/>
      </c>
      <c s="75">
        <f t="shared" si="158"/>
      </c>
      <c s="76">
        <f t="shared" si="159"/>
      </c>
      <c s="75">
        <f t="shared" si="160"/>
      </c>
      <c s="76">
        <f t="shared" si="161"/>
      </c>
      <c s="65">
        <f t="shared" si="162"/>
      </c>
      <c s="65">
        <f t="shared" si="163"/>
      </c>
      <c s="72">
        <f>IF('[1]Leakage Tree Data'!A185&lt;&gt;"",'[1]Leakage Tree Data'!A185,"")</f>
      </c>
      <c s="72">
        <f>IF('[1]Leakage Tree Data'!B185&lt;&gt;"",'[1]Leakage Tree Data'!B185,"")</f>
      </c>
      <c s="72">
        <f>IF('[1]Leakage Tree Data'!C185&lt;&gt;"",'[1]Leakage Tree Data'!C185,"")</f>
      </c>
      <c s="72">
        <f>IF('[1]Leakage Tree Data'!D185&lt;&gt;"",'[1]Leakage Tree Data'!D185,"")</f>
      </c>
      <c s="72">
        <f>IF('[1]Leakage Tree Data'!E185&lt;&gt;"",'[1]Leakage Tree Data'!E185,"")</f>
      </c>
      <c s="72">
        <f>IF('[1]Leakage Tree Data'!F185&lt;&gt;"",'[1]Leakage Tree Data'!F185,"")</f>
      </c>
      <c s="72">
        <f>IF('[1]Leakage Tree Data'!G185&lt;&gt;"",'[1]Leakage Tree Data'!G185,"")</f>
      </c>
      <c s="72">
        <f>IF('[1]Leakage Tree Data'!H185&lt;&gt;"",'[1]Leakage Tree Data'!H185,"")</f>
      </c>
      <c s="72">
        <f>IF('[1]Leakage Tree Data'!I185&lt;&gt;"",'[1]Leakage Tree Data'!I185,"")</f>
      </c>
      <c s="72">
        <f>IF('[1]Leakage Tree Data'!J185&lt;&gt;"",'[1]Leakage Tree Data'!J185,"")</f>
      </c>
      <c s="72">
        <f>IF('[1]Leakage Tree Data'!K185&lt;&gt;"",'[1]Leakage Tree Data'!K185,"")</f>
      </c>
      <c s="72">
        <f>IF('[1]Leakage Tree Data'!L185&lt;&gt;"",'[1]Leakage Tree Data'!L185,"")</f>
      </c>
      <c s="72">
        <f>IF('[1]Leakage Tree Data'!M185&lt;&gt;"",'[1]Leakage Tree Data'!M185,"")</f>
      </c>
      <c s="72">
        <f>IF('[1]Leakage Tree Data'!N185&lt;&gt;"",'[1]Leakage Tree Data'!N185,"")</f>
      </c>
      <c s="72">
        <f>IF('[1]Leakage Tree Data'!O185&lt;&gt;"",'[1]Leakage Tree Data'!O185,"")</f>
      </c>
      <c s="72">
        <f>IF('[1]Leakage Tree Data'!P185&lt;&gt;"",'[1]Leakage Tree Data'!P185,"")</f>
      </c>
      <c s="72">
        <f>IF('[1]Leakage Tree Data'!Q185&lt;&gt;"",'[1]Leakage Tree Data'!Q185,"")</f>
      </c>
      <c s="72">
        <f>IF('[1]Leakage Tree Data'!R185&lt;&gt;"",'[1]Leakage Tree Data'!R185,"")</f>
      </c>
      <c s="72">
        <f>IF('[1]Leakage Tree Data'!S185&lt;&gt;"",'[1]Leakage Tree Data'!S185,"")</f>
      </c>
      <c s="72">
        <f>IF('[1]Leakage Tree Data'!T185&lt;&gt;"",'[1]Leakage Tree Data'!T185,"")</f>
      </c>
      <c s="72">
        <f>IF('[1]Leakage Tree Data'!U185&lt;&gt;"",'[1]Leakage Tree Data'!U185,"")</f>
      </c>
      <c s="72">
        <f>IF('[1]Leakage Tree Data'!V185&lt;&gt;"",'[1]Leakage Tree Data'!V185,"")</f>
      </c>
      <c s="72">
        <f>IF('[1]Leakage Tree Data'!W185&lt;&gt;"",'[1]Leakage Tree Data'!W185,"")</f>
      </c>
      <c s="72">
        <f>IF('[1]Leakage Tree Data'!X185&lt;&gt;"",'[1]Leakage Tree Data'!X185,"")</f>
      </c>
      <c s="72">
        <f>IF('[1]Leakage Tree Data'!Y185&lt;&gt;"",'[1]Leakage Tree Data'!Y185,"")</f>
      </c>
      <c s="72">
        <f>IF('[1]Leakage Tree Data'!Z185&lt;&gt;"",'[1]Leakage Tree Data'!Z185,"")</f>
      </c>
      <c s="72">
        <f>IF('[1]Leakage Tree Data'!AA185&lt;&gt;"",'[1]Leakage Tree Data'!AA185,"")</f>
      </c>
      <c s="72">
        <f>IF('[1]Leakage Tree Data'!AB185&lt;&gt;"",'[1]Leakage Tree Data'!AB185,"")</f>
      </c>
      <c s="72">
        <f>IF('[1]Leakage Tree Data'!AC185&lt;&gt;"",'[1]Leakage Tree Data'!AC185,"")</f>
      </c>
      <c s="72">
        <f>IF('[1]Leakage Tree Data'!AD185&lt;&gt;"",'[1]Leakage Tree Data'!AD185,"")</f>
      </c>
      <c s="72">
        <f>IF('[1]Leakage Tree Data'!AE185&lt;&gt;"",'[1]Leakage Tree Data'!AE185,"")</f>
      </c>
      <c s="73">
        <f t="shared" si="164"/>
      </c>
      <c s="73">
        <f t="shared" si="165"/>
      </c>
      <c s="73">
        <f t="shared" si="166"/>
      </c>
      <c s="73">
        <f t="shared" si="167"/>
      </c>
      <c s="74">
        <f t="shared" si="168"/>
      </c>
      <c s="74">
        <f t="shared" si="169"/>
      </c>
      <c s="69">
        <f t="shared" si="170"/>
      </c>
      <c s="69">
        <f t="shared" si="171"/>
      </c>
    </row>
    <row r="287" spans="1:140" s="92" customFormat="1" ht="15">
      <c r="A287"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141"/>
      </c>
      <c s="75">
        <f t="shared" si="142"/>
      </c>
      <c s="76">
        <f t="shared" si="143"/>
      </c>
      <c s="75">
        <f t="shared" si="144"/>
      </c>
      <c s="76">
        <f t="shared" si="145"/>
      </c>
      <c s="75">
        <f t="shared" si="146"/>
      </c>
      <c s="76">
        <f t="shared" si="147"/>
      </c>
      <c s="75">
        <f t="shared" si="148"/>
      </c>
      <c s="76">
        <f t="shared" si="149"/>
      </c>
      <c s="75">
        <f t="shared" si="150"/>
      </c>
      <c s="76">
        <f t="shared" si="151"/>
      </c>
      <c s="75">
        <f t="shared" si="152"/>
      </c>
      <c s="76">
        <f t="shared" si="153"/>
      </c>
      <c s="75">
        <f t="shared" si="154"/>
      </c>
      <c s="76">
        <f t="shared" si="155"/>
      </c>
      <c s="75">
        <f t="shared" si="156"/>
      </c>
      <c s="76">
        <f t="shared" si="157"/>
      </c>
      <c s="75">
        <f t="shared" si="158"/>
      </c>
      <c s="76">
        <f t="shared" si="159"/>
      </c>
      <c s="75">
        <f t="shared" si="160"/>
      </c>
      <c s="76">
        <f t="shared" si="161"/>
      </c>
      <c s="65">
        <f t="shared" si="162"/>
      </c>
      <c s="65">
        <f t="shared" si="163"/>
      </c>
      <c s="72">
        <f>IF('[1]Leakage Tree Data'!A186&lt;&gt;"",'[1]Leakage Tree Data'!A186,"")</f>
      </c>
      <c s="72">
        <f>IF('[1]Leakage Tree Data'!B186&lt;&gt;"",'[1]Leakage Tree Data'!B186,"")</f>
      </c>
      <c s="72">
        <f>IF('[1]Leakage Tree Data'!C186&lt;&gt;"",'[1]Leakage Tree Data'!C186,"")</f>
      </c>
      <c s="72">
        <f>IF('[1]Leakage Tree Data'!D186&lt;&gt;"",'[1]Leakage Tree Data'!D186,"")</f>
      </c>
      <c s="72">
        <f>IF('[1]Leakage Tree Data'!E186&lt;&gt;"",'[1]Leakage Tree Data'!E186,"")</f>
      </c>
      <c s="72">
        <f>IF('[1]Leakage Tree Data'!F186&lt;&gt;"",'[1]Leakage Tree Data'!F186,"")</f>
      </c>
      <c s="72">
        <f>IF('[1]Leakage Tree Data'!G186&lt;&gt;"",'[1]Leakage Tree Data'!G186,"")</f>
      </c>
      <c s="72">
        <f>IF('[1]Leakage Tree Data'!H186&lt;&gt;"",'[1]Leakage Tree Data'!H186,"")</f>
      </c>
      <c s="72">
        <f>IF('[1]Leakage Tree Data'!I186&lt;&gt;"",'[1]Leakage Tree Data'!I186,"")</f>
      </c>
      <c s="72">
        <f>IF('[1]Leakage Tree Data'!J186&lt;&gt;"",'[1]Leakage Tree Data'!J186,"")</f>
      </c>
      <c s="72">
        <f>IF('[1]Leakage Tree Data'!K186&lt;&gt;"",'[1]Leakage Tree Data'!K186,"")</f>
      </c>
      <c s="72">
        <f>IF('[1]Leakage Tree Data'!L186&lt;&gt;"",'[1]Leakage Tree Data'!L186,"")</f>
      </c>
      <c s="72">
        <f>IF('[1]Leakage Tree Data'!M186&lt;&gt;"",'[1]Leakage Tree Data'!M186,"")</f>
      </c>
      <c s="72">
        <f>IF('[1]Leakage Tree Data'!N186&lt;&gt;"",'[1]Leakage Tree Data'!N186,"")</f>
      </c>
      <c s="72">
        <f>IF('[1]Leakage Tree Data'!O186&lt;&gt;"",'[1]Leakage Tree Data'!O186,"")</f>
      </c>
      <c s="72">
        <f>IF('[1]Leakage Tree Data'!P186&lt;&gt;"",'[1]Leakage Tree Data'!P186,"")</f>
      </c>
      <c s="72">
        <f>IF('[1]Leakage Tree Data'!Q186&lt;&gt;"",'[1]Leakage Tree Data'!Q186,"")</f>
      </c>
      <c s="72">
        <f>IF('[1]Leakage Tree Data'!R186&lt;&gt;"",'[1]Leakage Tree Data'!R186,"")</f>
      </c>
      <c s="72">
        <f>IF('[1]Leakage Tree Data'!S186&lt;&gt;"",'[1]Leakage Tree Data'!S186,"")</f>
      </c>
      <c s="72">
        <f>IF('[1]Leakage Tree Data'!T186&lt;&gt;"",'[1]Leakage Tree Data'!T186,"")</f>
      </c>
      <c s="72">
        <f>IF('[1]Leakage Tree Data'!U186&lt;&gt;"",'[1]Leakage Tree Data'!U186,"")</f>
      </c>
      <c s="72">
        <f>IF('[1]Leakage Tree Data'!V186&lt;&gt;"",'[1]Leakage Tree Data'!V186,"")</f>
      </c>
      <c s="72">
        <f>IF('[1]Leakage Tree Data'!W186&lt;&gt;"",'[1]Leakage Tree Data'!W186,"")</f>
      </c>
      <c s="72">
        <f>IF('[1]Leakage Tree Data'!X186&lt;&gt;"",'[1]Leakage Tree Data'!X186,"")</f>
      </c>
      <c s="72">
        <f>IF('[1]Leakage Tree Data'!Y186&lt;&gt;"",'[1]Leakage Tree Data'!Y186,"")</f>
      </c>
      <c s="72">
        <f>IF('[1]Leakage Tree Data'!Z186&lt;&gt;"",'[1]Leakage Tree Data'!Z186,"")</f>
      </c>
      <c s="72">
        <f>IF('[1]Leakage Tree Data'!AA186&lt;&gt;"",'[1]Leakage Tree Data'!AA186,"")</f>
      </c>
      <c s="72">
        <f>IF('[1]Leakage Tree Data'!AB186&lt;&gt;"",'[1]Leakage Tree Data'!AB186,"")</f>
      </c>
      <c s="72">
        <f>IF('[1]Leakage Tree Data'!AC186&lt;&gt;"",'[1]Leakage Tree Data'!AC186,"")</f>
      </c>
      <c s="72">
        <f>IF('[1]Leakage Tree Data'!AD186&lt;&gt;"",'[1]Leakage Tree Data'!AD186,"")</f>
      </c>
      <c s="72">
        <f>IF('[1]Leakage Tree Data'!AE186&lt;&gt;"",'[1]Leakage Tree Data'!AE186,"")</f>
      </c>
      <c s="73">
        <f t="shared" si="164"/>
      </c>
      <c s="73">
        <f t="shared" si="165"/>
      </c>
      <c s="73">
        <f t="shared" si="166"/>
      </c>
      <c s="73">
        <f t="shared" si="167"/>
      </c>
      <c s="74">
        <f t="shared" si="168"/>
      </c>
      <c s="74">
        <f t="shared" si="169"/>
      </c>
      <c s="69">
        <f t="shared" si="170"/>
      </c>
      <c s="69">
        <f t="shared" si="171"/>
      </c>
    </row>
    <row r="288" spans="1:140" s="92" customFormat="1" ht="15">
      <c r="A288"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141"/>
      </c>
      <c s="75">
        <f t="shared" si="142"/>
      </c>
      <c s="76">
        <f t="shared" si="143"/>
      </c>
      <c s="75">
        <f t="shared" si="144"/>
      </c>
      <c s="76">
        <f t="shared" si="145"/>
      </c>
      <c s="75">
        <f t="shared" si="146"/>
      </c>
      <c s="76">
        <f t="shared" si="147"/>
      </c>
      <c s="75">
        <f t="shared" si="148"/>
      </c>
      <c s="76">
        <f t="shared" si="149"/>
      </c>
      <c s="75">
        <f t="shared" si="150"/>
      </c>
      <c s="76">
        <f t="shared" si="151"/>
      </c>
      <c s="75">
        <f t="shared" si="152"/>
      </c>
      <c s="76">
        <f t="shared" si="153"/>
      </c>
      <c s="75">
        <f t="shared" si="154"/>
      </c>
      <c s="76">
        <f t="shared" si="155"/>
      </c>
      <c s="75">
        <f t="shared" si="156"/>
      </c>
      <c s="76">
        <f t="shared" si="157"/>
      </c>
      <c s="75">
        <f t="shared" si="158"/>
      </c>
      <c s="76">
        <f t="shared" si="159"/>
      </c>
      <c s="75">
        <f t="shared" si="160"/>
      </c>
      <c s="76">
        <f t="shared" si="161"/>
      </c>
      <c s="65">
        <f t="shared" si="162"/>
      </c>
      <c s="65">
        <f t="shared" si="163"/>
      </c>
      <c s="72">
        <f>IF('[1]Leakage Tree Data'!A187&lt;&gt;"",'[1]Leakage Tree Data'!A187,"")</f>
      </c>
      <c s="72">
        <f>IF('[1]Leakage Tree Data'!B187&lt;&gt;"",'[1]Leakage Tree Data'!B187,"")</f>
      </c>
      <c s="72">
        <f>IF('[1]Leakage Tree Data'!C187&lt;&gt;"",'[1]Leakage Tree Data'!C187,"")</f>
      </c>
      <c s="72">
        <f>IF('[1]Leakage Tree Data'!D187&lt;&gt;"",'[1]Leakage Tree Data'!D187,"")</f>
      </c>
      <c s="72">
        <f>IF('[1]Leakage Tree Data'!E187&lt;&gt;"",'[1]Leakage Tree Data'!E187,"")</f>
      </c>
      <c s="72">
        <f>IF('[1]Leakage Tree Data'!F187&lt;&gt;"",'[1]Leakage Tree Data'!F187,"")</f>
      </c>
      <c s="72">
        <f>IF('[1]Leakage Tree Data'!G187&lt;&gt;"",'[1]Leakage Tree Data'!G187,"")</f>
      </c>
      <c s="72">
        <f>IF('[1]Leakage Tree Data'!H187&lt;&gt;"",'[1]Leakage Tree Data'!H187,"")</f>
      </c>
      <c s="72">
        <f>IF('[1]Leakage Tree Data'!I187&lt;&gt;"",'[1]Leakage Tree Data'!I187,"")</f>
      </c>
      <c s="72">
        <f>IF('[1]Leakage Tree Data'!J187&lt;&gt;"",'[1]Leakage Tree Data'!J187,"")</f>
      </c>
      <c s="72">
        <f>IF('[1]Leakage Tree Data'!K187&lt;&gt;"",'[1]Leakage Tree Data'!K187,"")</f>
      </c>
      <c s="72">
        <f>IF('[1]Leakage Tree Data'!L187&lt;&gt;"",'[1]Leakage Tree Data'!L187,"")</f>
      </c>
      <c s="72">
        <f>IF('[1]Leakage Tree Data'!M187&lt;&gt;"",'[1]Leakage Tree Data'!M187,"")</f>
      </c>
      <c s="72">
        <f>IF('[1]Leakage Tree Data'!N187&lt;&gt;"",'[1]Leakage Tree Data'!N187,"")</f>
      </c>
      <c s="72">
        <f>IF('[1]Leakage Tree Data'!O187&lt;&gt;"",'[1]Leakage Tree Data'!O187,"")</f>
      </c>
      <c s="72">
        <f>IF('[1]Leakage Tree Data'!P187&lt;&gt;"",'[1]Leakage Tree Data'!P187,"")</f>
      </c>
      <c s="72">
        <f>IF('[1]Leakage Tree Data'!Q187&lt;&gt;"",'[1]Leakage Tree Data'!Q187,"")</f>
      </c>
      <c s="72">
        <f>IF('[1]Leakage Tree Data'!R187&lt;&gt;"",'[1]Leakage Tree Data'!R187,"")</f>
      </c>
      <c s="72">
        <f>IF('[1]Leakage Tree Data'!S187&lt;&gt;"",'[1]Leakage Tree Data'!S187,"")</f>
      </c>
      <c s="72">
        <f>IF('[1]Leakage Tree Data'!T187&lt;&gt;"",'[1]Leakage Tree Data'!T187,"")</f>
      </c>
      <c s="72">
        <f>IF('[1]Leakage Tree Data'!U187&lt;&gt;"",'[1]Leakage Tree Data'!U187,"")</f>
      </c>
      <c s="72">
        <f>IF('[1]Leakage Tree Data'!V187&lt;&gt;"",'[1]Leakage Tree Data'!V187,"")</f>
      </c>
      <c s="72">
        <f>IF('[1]Leakage Tree Data'!W187&lt;&gt;"",'[1]Leakage Tree Data'!W187,"")</f>
      </c>
      <c s="72">
        <f>IF('[1]Leakage Tree Data'!X187&lt;&gt;"",'[1]Leakage Tree Data'!X187,"")</f>
      </c>
      <c s="72">
        <f>IF('[1]Leakage Tree Data'!Y187&lt;&gt;"",'[1]Leakage Tree Data'!Y187,"")</f>
      </c>
      <c s="72">
        <f>IF('[1]Leakage Tree Data'!Z187&lt;&gt;"",'[1]Leakage Tree Data'!Z187,"")</f>
      </c>
      <c s="72">
        <f>IF('[1]Leakage Tree Data'!AA187&lt;&gt;"",'[1]Leakage Tree Data'!AA187,"")</f>
      </c>
      <c s="72">
        <f>IF('[1]Leakage Tree Data'!AB187&lt;&gt;"",'[1]Leakage Tree Data'!AB187,"")</f>
      </c>
      <c s="72">
        <f>IF('[1]Leakage Tree Data'!AC187&lt;&gt;"",'[1]Leakage Tree Data'!AC187,"")</f>
      </c>
      <c s="72">
        <f>IF('[1]Leakage Tree Data'!AD187&lt;&gt;"",'[1]Leakage Tree Data'!AD187,"")</f>
      </c>
      <c s="72">
        <f>IF('[1]Leakage Tree Data'!AE187&lt;&gt;"",'[1]Leakage Tree Data'!AE187,"")</f>
      </c>
      <c s="73">
        <f t="shared" si="164"/>
      </c>
      <c s="73">
        <f t="shared" si="165"/>
      </c>
      <c s="73">
        <f t="shared" si="166"/>
      </c>
      <c s="73">
        <f t="shared" si="167"/>
      </c>
      <c s="74">
        <f t="shared" si="168"/>
      </c>
      <c s="74">
        <f t="shared" si="169"/>
      </c>
      <c s="69">
        <f t="shared" si="170"/>
      </c>
      <c s="69">
        <f t="shared" si="171"/>
      </c>
    </row>
    <row r="289" spans="1:140" s="92" customFormat="1" ht="15">
      <c r="A289"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141"/>
      </c>
      <c s="75">
        <f t="shared" si="142"/>
      </c>
      <c s="76">
        <f t="shared" si="143"/>
      </c>
      <c s="75">
        <f t="shared" si="144"/>
      </c>
      <c s="76">
        <f t="shared" si="145"/>
      </c>
      <c s="75">
        <f t="shared" si="146"/>
      </c>
      <c s="76">
        <f t="shared" si="147"/>
      </c>
      <c s="75">
        <f t="shared" si="148"/>
      </c>
      <c s="76">
        <f t="shared" si="149"/>
      </c>
      <c s="75">
        <f t="shared" si="150"/>
      </c>
      <c s="76">
        <f t="shared" si="151"/>
      </c>
      <c s="75">
        <f t="shared" si="152"/>
      </c>
      <c s="76">
        <f t="shared" si="153"/>
      </c>
      <c s="75">
        <f t="shared" si="154"/>
      </c>
      <c s="76">
        <f t="shared" si="155"/>
      </c>
      <c s="75">
        <f t="shared" si="156"/>
      </c>
      <c s="76">
        <f t="shared" si="157"/>
      </c>
      <c s="75">
        <f t="shared" si="158"/>
      </c>
      <c s="76">
        <f t="shared" si="159"/>
      </c>
      <c s="75">
        <f t="shared" si="160"/>
      </c>
      <c s="76">
        <f t="shared" si="161"/>
      </c>
      <c s="65">
        <f t="shared" si="162"/>
      </c>
      <c s="65">
        <f t="shared" si="163"/>
      </c>
      <c s="72">
        <f>IF('[1]Leakage Tree Data'!A188&lt;&gt;"",'[1]Leakage Tree Data'!A188,"")</f>
      </c>
      <c s="72">
        <f>IF('[1]Leakage Tree Data'!B188&lt;&gt;"",'[1]Leakage Tree Data'!B188,"")</f>
      </c>
      <c s="72">
        <f>IF('[1]Leakage Tree Data'!C188&lt;&gt;"",'[1]Leakage Tree Data'!C188,"")</f>
      </c>
      <c s="72">
        <f>IF('[1]Leakage Tree Data'!D188&lt;&gt;"",'[1]Leakage Tree Data'!D188,"")</f>
      </c>
      <c s="72">
        <f>IF('[1]Leakage Tree Data'!E188&lt;&gt;"",'[1]Leakage Tree Data'!E188,"")</f>
      </c>
      <c s="72">
        <f>IF('[1]Leakage Tree Data'!F188&lt;&gt;"",'[1]Leakage Tree Data'!F188,"")</f>
      </c>
      <c s="72">
        <f>IF('[1]Leakage Tree Data'!G188&lt;&gt;"",'[1]Leakage Tree Data'!G188,"")</f>
      </c>
      <c s="72">
        <f>IF('[1]Leakage Tree Data'!H188&lt;&gt;"",'[1]Leakage Tree Data'!H188,"")</f>
      </c>
      <c s="72">
        <f>IF('[1]Leakage Tree Data'!I188&lt;&gt;"",'[1]Leakage Tree Data'!I188,"")</f>
      </c>
      <c s="72">
        <f>IF('[1]Leakage Tree Data'!J188&lt;&gt;"",'[1]Leakage Tree Data'!J188,"")</f>
      </c>
      <c s="72">
        <f>IF('[1]Leakage Tree Data'!K188&lt;&gt;"",'[1]Leakage Tree Data'!K188,"")</f>
      </c>
      <c s="72">
        <f>IF('[1]Leakage Tree Data'!L188&lt;&gt;"",'[1]Leakage Tree Data'!L188,"")</f>
      </c>
      <c s="72">
        <f>IF('[1]Leakage Tree Data'!M188&lt;&gt;"",'[1]Leakage Tree Data'!M188,"")</f>
      </c>
      <c s="72">
        <f>IF('[1]Leakage Tree Data'!N188&lt;&gt;"",'[1]Leakage Tree Data'!N188,"")</f>
      </c>
      <c s="72">
        <f>IF('[1]Leakage Tree Data'!O188&lt;&gt;"",'[1]Leakage Tree Data'!O188,"")</f>
      </c>
      <c s="72">
        <f>IF('[1]Leakage Tree Data'!P188&lt;&gt;"",'[1]Leakage Tree Data'!P188,"")</f>
      </c>
      <c s="72">
        <f>IF('[1]Leakage Tree Data'!Q188&lt;&gt;"",'[1]Leakage Tree Data'!Q188,"")</f>
      </c>
      <c s="72">
        <f>IF('[1]Leakage Tree Data'!R188&lt;&gt;"",'[1]Leakage Tree Data'!R188,"")</f>
      </c>
      <c s="72">
        <f>IF('[1]Leakage Tree Data'!S188&lt;&gt;"",'[1]Leakage Tree Data'!S188,"")</f>
      </c>
      <c s="72">
        <f>IF('[1]Leakage Tree Data'!T188&lt;&gt;"",'[1]Leakage Tree Data'!T188,"")</f>
      </c>
      <c s="72">
        <f>IF('[1]Leakage Tree Data'!U188&lt;&gt;"",'[1]Leakage Tree Data'!U188,"")</f>
      </c>
      <c s="72">
        <f>IF('[1]Leakage Tree Data'!V188&lt;&gt;"",'[1]Leakage Tree Data'!V188,"")</f>
      </c>
      <c s="72">
        <f>IF('[1]Leakage Tree Data'!W188&lt;&gt;"",'[1]Leakage Tree Data'!W188,"")</f>
      </c>
      <c s="72">
        <f>IF('[1]Leakage Tree Data'!X188&lt;&gt;"",'[1]Leakage Tree Data'!X188,"")</f>
      </c>
      <c s="72">
        <f>IF('[1]Leakage Tree Data'!Y188&lt;&gt;"",'[1]Leakage Tree Data'!Y188,"")</f>
      </c>
      <c s="72">
        <f>IF('[1]Leakage Tree Data'!Z188&lt;&gt;"",'[1]Leakage Tree Data'!Z188,"")</f>
      </c>
      <c s="72">
        <f>IF('[1]Leakage Tree Data'!AA188&lt;&gt;"",'[1]Leakage Tree Data'!AA188,"")</f>
      </c>
      <c s="72">
        <f>IF('[1]Leakage Tree Data'!AB188&lt;&gt;"",'[1]Leakage Tree Data'!AB188,"")</f>
      </c>
      <c s="72">
        <f>IF('[1]Leakage Tree Data'!AC188&lt;&gt;"",'[1]Leakage Tree Data'!AC188,"")</f>
      </c>
      <c s="72">
        <f>IF('[1]Leakage Tree Data'!AD188&lt;&gt;"",'[1]Leakage Tree Data'!AD188,"")</f>
      </c>
      <c s="72">
        <f>IF('[1]Leakage Tree Data'!AE188&lt;&gt;"",'[1]Leakage Tree Data'!AE188,"")</f>
      </c>
      <c s="73">
        <f t="shared" si="164"/>
      </c>
      <c s="73">
        <f t="shared" si="165"/>
      </c>
      <c s="73">
        <f t="shared" si="166"/>
      </c>
      <c s="73">
        <f t="shared" si="167"/>
      </c>
      <c s="74">
        <f t="shared" si="168"/>
      </c>
      <c s="74">
        <f t="shared" si="169"/>
      </c>
      <c s="69">
        <f t="shared" si="170"/>
      </c>
      <c s="69">
        <f t="shared" si="171"/>
      </c>
    </row>
    <row r="290" spans="1:140" s="92" customFormat="1" ht="15">
      <c r="A290"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141"/>
      </c>
      <c s="75">
        <f t="shared" si="142"/>
      </c>
      <c s="76">
        <f t="shared" si="143"/>
      </c>
      <c s="75">
        <f t="shared" si="144"/>
      </c>
      <c s="76">
        <f t="shared" si="145"/>
      </c>
      <c s="75">
        <f t="shared" si="146"/>
      </c>
      <c s="76">
        <f t="shared" si="147"/>
      </c>
      <c s="75">
        <f t="shared" si="148"/>
      </c>
      <c s="76">
        <f t="shared" si="149"/>
      </c>
      <c s="75">
        <f t="shared" si="150"/>
      </c>
      <c s="76">
        <f t="shared" si="151"/>
      </c>
      <c s="75">
        <f t="shared" si="152"/>
      </c>
      <c s="76">
        <f t="shared" si="153"/>
      </c>
      <c s="75">
        <f t="shared" si="154"/>
      </c>
      <c s="76">
        <f t="shared" si="155"/>
      </c>
      <c s="75">
        <f t="shared" si="156"/>
      </c>
      <c s="76">
        <f t="shared" si="157"/>
      </c>
      <c s="75">
        <f t="shared" si="158"/>
      </c>
      <c s="76">
        <f t="shared" si="159"/>
      </c>
      <c s="75">
        <f t="shared" si="160"/>
      </c>
      <c s="76">
        <f t="shared" si="161"/>
      </c>
      <c s="65">
        <f t="shared" si="162"/>
      </c>
      <c s="65">
        <f t="shared" si="163"/>
      </c>
      <c s="72">
        <f>IF('[1]Leakage Tree Data'!A189&lt;&gt;"",'[1]Leakage Tree Data'!A189,"")</f>
      </c>
      <c s="72">
        <f>IF('[1]Leakage Tree Data'!B189&lt;&gt;"",'[1]Leakage Tree Data'!B189,"")</f>
      </c>
      <c s="72">
        <f>IF('[1]Leakage Tree Data'!C189&lt;&gt;"",'[1]Leakage Tree Data'!C189,"")</f>
      </c>
      <c s="72">
        <f>IF('[1]Leakage Tree Data'!D189&lt;&gt;"",'[1]Leakage Tree Data'!D189,"")</f>
      </c>
      <c s="72">
        <f>IF('[1]Leakage Tree Data'!E189&lt;&gt;"",'[1]Leakage Tree Data'!E189,"")</f>
      </c>
      <c s="72">
        <f>IF('[1]Leakage Tree Data'!F189&lt;&gt;"",'[1]Leakage Tree Data'!F189,"")</f>
      </c>
      <c s="72">
        <f>IF('[1]Leakage Tree Data'!G189&lt;&gt;"",'[1]Leakage Tree Data'!G189,"")</f>
      </c>
      <c s="72">
        <f>IF('[1]Leakage Tree Data'!H189&lt;&gt;"",'[1]Leakage Tree Data'!H189,"")</f>
      </c>
      <c s="72">
        <f>IF('[1]Leakage Tree Data'!I189&lt;&gt;"",'[1]Leakage Tree Data'!I189,"")</f>
      </c>
      <c s="72">
        <f>IF('[1]Leakage Tree Data'!J189&lt;&gt;"",'[1]Leakage Tree Data'!J189,"")</f>
      </c>
      <c s="72">
        <f>IF('[1]Leakage Tree Data'!K189&lt;&gt;"",'[1]Leakage Tree Data'!K189,"")</f>
      </c>
      <c s="72">
        <f>IF('[1]Leakage Tree Data'!L189&lt;&gt;"",'[1]Leakage Tree Data'!L189,"")</f>
      </c>
      <c s="72">
        <f>IF('[1]Leakage Tree Data'!M189&lt;&gt;"",'[1]Leakage Tree Data'!M189,"")</f>
      </c>
      <c s="72">
        <f>IF('[1]Leakage Tree Data'!N189&lt;&gt;"",'[1]Leakage Tree Data'!N189,"")</f>
      </c>
      <c s="72">
        <f>IF('[1]Leakage Tree Data'!O189&lt;&gt;"",'[1]Leakage Tree Data'!O189,"")</f>
      </c>
      <c s="72">
        <f>IF('[1]Leakage Tree Data'!P189&lt;&gt;"",'[1]Leakage Tree Data'!P189,"")</f>
      </c>
      <c s="72">
        <f>IF('[1]Leakage Tree Data'!Q189&lt;&gt;"",'[1]Leakage Tree Data'!Q189,"")</f>
      </c>
      <c s="72">
        <f>IF('[1]Leakage Tree Data'!R189&lt;&gt;"",'[1]Leakage Tree Data'!R189,"")</f>
      </c>
      <c s="72">
        <f>IF('[1]Leakage Tree Data'!S189&lt;&gt;"",'[1]Leakage Tree Data'!S189,"")</f>
      </c>
      <c s="72">
        <f>IF('[1]Leakage Tree Data'!T189&lt;&gt;"",'[1]Leakage Tree Data'!T189,"")</f>
      </c>
      <c s="72">
        <f>IF('[1]Leakage Tree Data'!U189&lt;&gt;"",'[1]Leakage Tree Data'!U189,"")</f>
      </c>
      <c s="72">
        <f>IF('[1]Leakage Tree Data'!V189&lt;&gt;"",'[1]Leakage Tree Data'!V189,"")</f>
      </c>
      <c s="72">
        <f>IF('[1]Leakage Tree Data'!W189&lt;&gt;"",'[1]Leakage Tree Data'!W189,"")</f>
      </c>
      <c s="72">
        <f>IF('[1]Leakage Tree Data'!X189&lt;&gt;"",'[1]Leakage Tree Data'!X189,"")</f>
      </c>
      <c s="72">
        <f>IF('[1]Leakage Tree Data'!Y189&lt;&gt;"",'[1]Leakage Tree Data'!Y189,"")</f>
      </c>
      <c s="72">
        <f>IF('[1]Leakage Tree Data'!Z189&lt;&gt;"",'[1]Leakage Tree Data'!Z189,"")</f>
      </c>
      <c s="72">
        <f>IF('[1]Leakage Tree Data'!AA189&lt;&gt;"",'[1]Leakage Tree Data'!AA189,"")</f>
      </c>
      <c s="72">
        <f>IF('[1]Leakage Tree Data'!AB189&lt;&gt;"",'[1]Leakage Tree Data'!AB189,"")</f>
      </c>
      <c s="72">
        <f>IF('[1]Leakage Tree Data'!AC189&lt;&gt;"",'[1]Leakage Tree Data'!AC189,"")</f>
      </c>
      <c s="72">
        <f>IF('[1]Leakage Tree Data'!AD189&lt;&gt;"",'[1]Leakage Tree Data'!AD189,"")</f>
      </c>
      <c s="72">
        <f>IF('[1]Leakage Tree Data'!AE189&lt;&gt;"",'[1]Leakage Tree Data'!AE189,"")</f>
      </c>
      <c s="73">
        <f t="shared" si="164"/>
      </c>
      <c s="73">
        <f t="shared" si="165"/>
      </c>
      <c s="73">
        <f t="shared" si="166"/>
      </c>
      <c s="73">
        <f t="shared" si="167"/>
      </c>
      <c s="74">
        <f t="shared" si="168"/>
      </c>
      <c s="74">
        <f t="shared" si="169"/>
      </c>
      <c s="69">
        <f t="shared" si="170"/>
      </c>
      <c s="69">
        <f t="shared" si="171"/>
      </c>
    </row>
    <row r="291" spans="1:140" s="92" customFormat="1" ht="15">
      <c r="A291"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141"/>
      </c>
      <c s="75">
        <f t="shared" si="142"/>
      </c>
      <c s="76">
        <f t="shared" si="143"/>
      </c>
      <c s="75">
        <f t="shared" si="144"/>
      </c>
      <c s="76">
        <f t="shared" si="145"/>
      </c>
      <c s="75">
        <f t="shared" si="146"/>
      </c>
      <c s="76">
        <f t="shared" si="147"/>
      </c>
      <c s="75">
        <f t="shared" si="148"/>
      </c>
      <c s="76">
        <f t="shared" si="149"/>
      </c>
      <c s="75">
        <f t="shared" si="150"/>
      </c>
      <c s="76">
        <f t="shared" si="151"/>
      </c>
      <c s="75">
        <f t="shared" si="152"/>
      </c>
      <c s="76">
        <f t="shared" si="153"/>
      </c>
      <c s="75">
        <f t="shared" si="154"/>
      </c>
      <c s="76">
        <f t="shared" si="155"/>
      </c>
      <c s="75">
        <f t="shared" si="156"/>
      </c>
      <c s="76">
        <f t="shared" si="157"/>
      </c>
      <c s="75">
        <f t="shared" si="158"/>
      </c>
      <c s="76">
        <f t="shared" si="159"/>
      </c>
      <c s="75">
        <f t="shared" si="160"/>
      </c>
      <c s="76">
        <f t="shared" si="161"/>
      </c>
      <c s="65">
        <f t="shared" si="162"/>
      </c>
      <c s="65">
        <f t="shared" si="163"/>
      </c>
      <c s="72">
        <f>IF('[1]Leakage Tree Data'!A190&lt;&gt;"",'[1]Leakage Tree Data'!A190,"")</f>
      </c>
      <c s="72">
        <f>IF('[1]Leakage Tree Data'!B190&lt;&gt;"",'[1]Leakage Tree Data'!B190,"")</f>
      </c>
      <c s="72">
        <f>IF('[1]Leakage Tree Data'!C190&lt;&gt;"",'[1]Leakage Tree Data'!C190,"")</f>
      </c>
      <c s="72">
        <f>IF('[1]Leakage Tree Data'!D190&lt;&gt;"",'[1]Leakage Tree Data'!D190,"")</f>
      </c>
      <c s="72">
        <f>IF('[1]Leakage Tree Data'!E190&lt;&gt;"",'[1]Leakage Tree Data'!E190,"")</f>
      </c>
      <c s="72">
        <f>IF('[1]Leakage Tree Data'!F190&lt;&gt;"",'[1]Leakage Tree Data'!F190,"")</f>
      </c>
      <c s="72">
        <f>IF('[1]Leakage Tree Data'!G190&lt;&gt;"",'[1]Leakage Tree Data'!G190,"")</f>
      </c>
      <c s="72">
        <f>IF('[1]Leakage Tree Data'!H190&lt;&gt;"",'[1]Leakage Tree Data'!H190,"")</f>
      </c>
      <c s="72">
        <f>IF('[1]Leakage Tree Data'!I190&lt;&gt;"",'[1]Leakage Tree Data'!I190,"")</f>
      </c>
      <c s="72">
        <f>IF('[1]Leakage Tree Data'!J190&lt;&gt;"",'[1]Leakage Tree Data'!J190,"")</f>
      </c>
      <c s="72">
        <f>IF('[1]Leakage Tree Data'!K190&lt;&gt;"",'[1]Leakage Tree Data'!K190,"")</f>
      </c>
      <c s="72">
        <f>IF('[1]Leakage Tree Data'!L190&lt;&gt;"",'[1]Leakage Tree Data'!L190,"")</f>
      </c>
      <c s="72">
        <f>IF('[1]Leakage Tree Data'!M190&lt;&gt;"",'[1]Leakage Tree Data'!M190,"")</f>
      </c>
      <c s="72">
        <f>IF('[1]Leakage Tree Data'!N190&lt;&gt;"",'[1]Leakage Tree Data'!N190,"")</f>
      </c>
      <c s="72">
        <f>IF('[1]Leakage Tree Data'!O190&lt;&gt;"",'[1]Leakage Tree Data'!O190,"")</f>
      </c>
      <c s="72">
        <f>IF('[1]Leakage Tree Data'!P190&lt;&gt;"",'[1]Leakage Tree Data'!P190,"")</f>
      </c>
      <c s="72">
        <f>IF('[1]Leakage Tree Data'!Q190&lt;&gt;"",'[1]Leakage Tree Data'!Q190,"")</f>
      </c>
      <c s="72">
        <f>IF('[1]Leakage Tree Data'!R190&lt;&gt;"",'[1]Leakage Tree Data'!R190,"")</f>
      </c>
      <c s="72">
        <f>IF('[1]Leakage Tree Data'!S190&lt;&gt;"",'[1]Leakage Tree Data'!S190,"")</f>
      </c>
      <c s="72">
        <f>IF('[1]Leakage Tree Data'!T190&lt;&gt;"",'[1]Leakage Tree Data'!T190,"")</f>
      </c>
      <c s="72">
        <f>IF('[1]Leakage Tree Data'!U190&lt;&gt;"",'[1]Leakage Tree Data'!U190,"")</f>
      </c>
      <c s="72">
        <f>IF('[1]Leakage Tree Data'!V190&lt;&gt;"",'[1]Leakage Tree Data'!V190,"")</f>
      </c>
      <c s="72">
        <f>IF('[1]Leakage Tree Data'!W190&lt;&gt;"",'[1]Leakage Tree Data'!W190,"")</f>
      </c>
      <c s="72">
        <f>IF('[1]Leakage Tree Data'!X190&lt;&gt;"",'[1]Leakage Tree Data'!X190,"")</f>
      </c>
      <c s="72">
        <f>IF('[1]Leakage Tree Data'!Y190&lt;&gt;"",'[1]Leakage Tree Data'!Y190,"")</f>
      </c>
      <c s="72">
        <f>IF('[1]Leakage Tree Data'!Z190&lt;&gt;"",'[1]Leakage Tree Data'!Z190,"")</f>
      </c>
      <c s="72">
        <f>IF('[1]Leakage Tree Data'!AA190&lt;&gt;"",'[1]Leakage Tree Data'!AA190,"")</f>
      </c>
      <c s="72">
        <f>IF('[1]Leakage Tree Data'!AB190&lt;&gt;"",'[1]Leakage Tree Data'!AB190,"")</f>
      </c>
      <c s="72">
        <f>IF('[1]Leakage Tree Data'!AC190&lt;&gt;"",'[1]Leakage Tree Data'!AC190,"")</f>
      </c>
      <c s="72">
        <f>IF('[1]Leakage Tree Data'!AD190&lt;&gt;"",'[1]Leakage Tree Data'!AD190,"")</f>
      </c>
      <c s="72">
        <f>IF('[1]Leakage Tree Data'!AE190&lt;&gt;"",'[1]Leakage Tree Data'!AE190,"")</f>
      </c>
      <c s="73">
        <f t="shared" si="164"/>
      </c>
      <c s="73">
        <f t="shared" si="165"/>
      </c>
      <c s="73">
        <f t="shared" si="166"/>
      </c>
      <c s="73">
        <f t="shared" si="167"/>
      </c>
      <c s="74">
        <f t="shared" si="168"/>
      </c>
      <c s="74">
        <f t="shared" si="169"/>
      </c>
      <c s="69">
        <f t="shared" si="170"/>
      </c>
      <c s="69">
        <f t="shared" si="171"/>
      </c>
    </row>
    <row r="292" spans="1:140" s="92" customFormat="1" ht="15">
      <c r="A292"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141"/>
      </c>
      <c s="75">
        <f t="shared" si="142"/>
      </c>
      <c s="76">
        <f t="shared" si="143"/>
      </c>
      <c s="75">
        <f t="shared" si="144"/>
      </c>
      <c s="76">
        <f t="shared" si="145"/>
      </c>
      <c s="75">
        <f t="shared" si="146"/>
      </c>
      <c s="76">
        <f t="shared" si="147"/>
      </c>
      <c s="75">
        <f t="shared" si="148"/>
      </c>
      <c s="76">
        <f t="shared" si="149"/>
      </c>
      <c s="75">
        <f t="shared" si="150"/>
      </c>
      <c s="76">
        <f t="shared" si="151"/>
      </c>
      <c s="75">
        <f t="shared" si="152"/>
      </c>
      <c s="76">
        <f t="shared" si="153"/>
      </c>
      <c s="75">
        <f t="shared" si="154"/>
      </c>
      <c s="76">
        <f t="shared" si="155"/>
      </c>
      <c s="75">
        <f t="shared" si="156"/>
      </c>
      <c s="76">
        <f t="shared" si="157"/>
      </c>
      <c s="75">
        <f t="shared" si="158"/>
      </c>
      <c s="76">
        <f t="shared" si="159"/>
      </c>
      <c s="75">
        <f t="shared" si="160"/>
      </c>
      <c s="76">
        <f t="shared" si="161"/>
      </c>
      <c s="65">
        <f t="shared" si="162"/>
      </c>
      <c s="65">
        <f t="shared" si="163"/>
      </c>
      <c s="72">
        <f>IF('[1]Leakage Tree Data'!A191&lt;&gt;"",'[1]Leakage Tree Data'!A191,"")</f>
      </c>
      <c s="72">
        <f>IF('[1]Leakage Tree Data'!B191&lt;&gt;"",'[1]Leakage Tree Data'!B191,"")</f>
      </c>
      <c s="72">
        <f>IF('[1]Leakage Tree Data'!C191&lt;&gt;"",'[1]Leakage Tree Data'!C191,"")</f>
      </c>
      <c s="72">
        <f>IF('[1]Leakage Tree Data'!D191&lt;&gt;"",'[1]Leakage Tree Data'!D191,"")</f>
      </c>
      <c s="72">
        <f>IF('[1]Leakage Tree Data'!E191&lt;&gt;"",'[1]Leakage Tree Data'!E191,"")</f>
      </c>
      <c s="72">
        <f>IF('[1]Leakage Tree Data'!F191&lt;&gt;"",'[1]Leakage Tree Data'!F191,"")</f>
      </c>
      <c s="72">
        <f>IF('[1]Leakage Tree Data'!G191&lt;&gt;"",'[1]Leakage Tree Data'!G191,"")</f>
      </c>
      <c s="72">
        <f>IF('[1]Leakage Tree Data'!H191&lt;&gt;"",'[1]Leakage Tree Data'!H191,"")</f>
      </c>
      <c s="72">
        <f>IF('[1]Leakage Tree Data'!I191&lt;&gt;"",'[1]Leakage Tree Data'!I191,"")</f>
      </c>
      <c s="72">
        <f>IF('[1]Leakage Tree Data'!J191&lt;&gt;"",'[1]Leakage Tree Data'!J191,"")</f>
      </c>
      <c s="72">
        <f>IF('[1]Leakage Tree Data'!K191&lt;&gt;"",'[1]Leakage Tree Data'!K191,"")</f>
      </c>
      <c s="72">
        <f>IF('[1]Leakage Tree Data'!L191&lt;&gt;"",'[1]Leakage Tree Data'!L191,"")</f>
      </c>
      <c s="72">
        <f>IF('[1]Leakage Tree Data'!M191&lt;&gt;"",'[1]Leakage Tree Data'!M191,"")</f>
      </c>
      <c s="72">
        <f>IF('[1]Leakage Tree Data'!N191&lt;&gt;"",'[1]Leakage Tree Data'!N191,"")</f>
      </c>
      <c s="72">
        <f>IF('[1]Leakage Tree Data'!O191&lt;&gt;"",'[1]Leakage Tree Data'!O191,"")</f>
      </c>
      <c s="72">
        <f>IF('[1]Leakage Tree Data'!P191&lt;&gt;"",'[1]Leakage Tree Data'!P191,"")</f>
      </c>
      <c s="72">
        <f>IF('[1]Leakage Tree Data'!Q191&lt;&gt;"",'[1]Leakage Tree Data'!Q191,"")</f>
      </c>
      <c s="72">
        <f>IF('[1]Leakage Tree Data'!R191&lt;&gt;"",'[1]Leakage Tree Data'!R191,"")</f>
      </c>
      <c s="72">
        <f>IF('[1]Leakage Tree Data'!S191&lt;&gt;"",'[1]Leakage Tree Data'!S191,"")</f>
      </c>
      <c s="72">
        <f>IF('[1]Leakage Tree Data'!T191&lt;&gt;"",'[1]Leakage Tree Data'!T191,"")</f>
      </c>
      <c s="72">
        <f>IF('[1]Leakage Tree Data'!U191&lt;&gt;"",'[1]Leakage Tree Data'!U191,"")</f>
      </c>
      <c s="72">
        <f>IF('[1]Leakage Tree Data'!V191&lt;&gt;"",'[1]Leakage Tree Data'!V191,"")</f>
      </c>
      <c s="72">
        <f>IF('[1]Leakage Tree Data'!W191&lt;&gt;"",'[1]Leakage Tree Data'!W191,"")</f>
      </c>
      <c s="72">
        <f>IF('[1]Leakage Tree Data'!X191&lt;&gt;"",'[1]Leakage Tree Data'!X191,"")</f>
      </c>
      <c s="72">
        <f>IF('[1]Leakage Tree Data'!Y191&lt;&gt;"",'[1]Leakage Tree Data'!Y191,"")</f>
      </c>
      <c s="72">
        <f>IF('[1]Leakage Tree Data'!Z191&lt;&gt;"",'[1]Leakage Tree Data'!Z191,"")</f>
      </c>
      <c s="72">
        <f>IF('[1]Leakage Tree Data'!AA191&lt;&gt;"",'[1]Leakage Tree Data'!AA191,"")</f>
      </c>
      <c s="72">
        <f>IF('[1]Leakage Tree Data'!AB191&lt;&gt;"",'[1]Leakage Tree Data'!AB191,"")</f>
      </c>
      <c s="72">
        <f>IF('[1]Leakage Tree Data'!AC191&lt;&gt;"",'[1]Leakage Tree Data'!AC191,"")</f>
      </c>
      <c s="72">
        <f>IF('[1]Leakage Tree Data'!AD191&lt;&gt;"",'[1]Leakage Tree Data'!AD191,"")</f>
      </c>
      <c s="72">
        <f>IF('[1]Leakage Tree Data'!AE191&lt;&gt;"",'[1]Leakage Tree Data'!AE191,"")</f>
      </c>
      <c s="73">
        <f t="shared" si="164"/>
      </c>
      <c s="73">
        <f t="shared" si="165"/>
      </c>
      <c s="73">
        <f t="shared" si="166"/>
      </c>
      <c s="73">
        <f t="shared" si="167"/>
      </c>
      <c s="74">
        <f t="shared" si="168"/>
      </c>
      <c s="74">
        <f t="shared" si="169"/>
      </c>
      <c s="69">
        <f t="shared" si="170"/>
      </c>
      <c s="69">
        <f t="shared" si="171"/>
      </c>
    </row>
    <row r="293" spans="1:140" s="92" customFormat="1" ht="15">
      <c r="A293"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141"/>
      </c>
      <c s="75">
        <f t="shared" si="142"/>
      </c>
      <c s="76">
        <f t="shared" si="143"/>
      </c>
      <c s="75">
        <f t="shared" si="144"/>
      </c>
      <c s="76">
        <f t="shared" si="145"/>
      </c>
      <c s="75">
        <f t="shared" si="146"/>
      </c>
      <c s="76">
        <f t="shared" si="147"/>
      </c>
      <c s="75">
        <f t="shared" si="148"/>
      </c>
      <c s="76">
        <f t="shared" si="149"/>
      </c>
      <c s="75">
        <f t="shared" si="150"/>
      </c>
      <c s="76">
        <f t="shared" si="151"/>
      </c>
      <c s="75">
        <f t="shared" si="152"/>
      </c>
      <c s="76">
        <f t="shared" si="153"/>
      </c>
      <c s="75">
        <f t="shared" si="154"/>
      </c>
      <c s="76">
        <f t="shared" si="155"/>
      </c>
      <c s="75">
        <f t="shared" si="156"/>
      </c>
      <c s="76">
        <f t="shared" si="157"/>
      </c>
      <c s="75">
        <f t="shared" si="158"/>
      </c>
      <c s="76">
        <f t="shared" si="159"/>
      </c>
      <c s="75">
        <f t="shared" si="160"/>
      </c>
      <c s="76">
        <f t="shared" si="161"/>
      </c>
      <c s="65">
        <f t="shared" si="162"/>
      </c>
      <c s="65">
        <f t="shared" si="163"/>
      </c>
      <c s="72">
        <f>IF('[1]Leakage Tree Data'!A192&lt;&gt;"",'[1]Leakage Tree Data'!A192,"")</f>
      </c>
      <c s="72">
        <f>IF('[1]Leakage Tree Data'!B192&lt;&gt;"",'[1]Leakage Tree Data'!B192,"")</f>
      </c>
      <c s="72">
        <f>IF('[1]Leakage Tree Data'!C192&lt;&gt;"",'[1]Leakage Tree Data'!C192,"")</f>
      </c>
      <c s="72">
        <f>IF('[1]Leakage Tree Data'!D192&lt;&gt;"",'[1]Leakage Tree Data'!D192,"")</f>
      </c>
      <c s="72">
        <f>IF('[1]Leakage Tree Data'!E192&lt;&gt;"",'[1]Leakage Tree Data'!E192,"")</f>
      </c>
      <c s="72">
        <f>IF('[1]Leakage Tree Data'!F192&lt;&gt;"",'[1]Leakage Tree Data'!F192,"")</f>
      </c>
      <c s="72">
        <f>IF('[1]Leakage Tree Data'!G192&lt;&gt;"",'[1]Leakage Tree Data'!G192,"")</f>
      </c>
      <c s="72">
        <f>IF('[1]Leakage Tree Data'!H192&lt;&gt;"",'[1]Leakage Tree Data'!H192,"")</f>
      </c>
      <c s="72">
        <f>IF('[1]Leakage Tree Data'!I192&lt;&gt;"",'[1]Leakage Tree Data'!I192,"")</f>
      </c>
      <c s="72">
        <f>IF('[1]Leakage Tree Data'!J192&lt;&gt;"",'[1]Leakage Tree Data'!J192,"")</f>
      </c>
      <c s="72">
        <f>IF('[1]Leakage Tree Data'!K192&lt;&gt;"",'[1]Leakage Tree Data'!K192,"")</f>
      </c>
      <c s="72">
        <f>IF('[1]Leakage Tree Data'!L192&lt;&gt;"",'[1]Leakage Tree Data'!L192,"")</f>
      </c>
      <c s="72">
        <f>IF('[1]Leakage Tree Data'!M192&lt;&gt;"",'[1]Leakage Tree Data'!M192,"")</f>
      </c>
      <c s="72">
        <f>IF('[1]Leakage Tree Data'!N192&lt;&gt;"",'[1]Leakage Tree Data'!N192,"")</f>
      </c>
      <c s="72">
        <f>IF('[1]Leakage Tree Data'!O192&lt;&gt;"",'[1]Leakage Tree Data'!O192,"")</f>
      </c>
      <c s="72">
        <f>IF('[1]Leakage Tree Data'!P192&lt;&gt;"",'[1]Leakage Tree Data'!P192,"")</f>
      </c>
      <c s="72">
        <f>IF('[1]Leakage Tree Data'!Q192&lt;&gt;"",'[1]Leakage Tree Data'!Q192,"")</f>
      </c>
      <c s="72">
        <f>IF('[1]Leakage Tree Data'!R192&lt;&gt;"",'[1]Leakage Tree Data'!R192,"")</f>
      </c>
      <c s="72">
        <f>IF('[1]Leakage Tree Data'!S192&lt;&gt;"",'[1]Leakage Tree Data'!S192,"")</f>
      </c>
      <c s="72">
        <f>IF('[1]Leakage Tree Data'!T192&lt;&gt;"",'[1]Leakage Tree Data'!T192,"")</f>
      </c>
      <c s="72">
        <f>IF('[1]Leakage Tree Data'!U192&lt;&gt;"",'[1]Leakage Tree Data'!U192,"")</f>
      </c>
      <c s="72">
        <f>IF('[1]Leakage Tree Data'!V192&lt;&gt;"",'[1]Leakage Tree Data'!V192,"")</f>
      </c>
      <c s="72">
        <f>IF('[1]Leakage Tree Data'!W192&lt;&gt;"",'[1]Leakage Tree Data'!W192,"")</f>
      </c>
      <c s="72">
        <f>IF('[1]Leakage Tree Data'!X192&lt;&gt;"",'[1]Leakage Tree Data'!X192,"")</f>
      </c>
      <c s="72">
        <f>IF('[1]Leakage Tree Data'!Y192&lt;&gt;"",'[1]Leakage Tree Data'!Y192,"")</f>
      </c>
      <c s="72">
        <f>IF('[1]Leakage Tree Data'!Z192&lt;&gt;"",'[1]Leakage Tree Data'!Z192,"")</f>
      </c>
      <c s="72">
        <f>IF('[1]Leakage Tree Data'!AA192&lt;&gt;"",'[1]Leakage Tree Data'!AA192,"")</f>
      </c>
      <c s="72">
        <f>IF('[1]Leakage Tree Data'!AB192&lt;&gt;"",'[1]Leakage Tree Data'!AB192,"")</f>
      </c>
      <c s="72">
        <f>IF('[1]Leakage Tree Data'!AC192&lt;&gt;"",'[1]Leakage Tree Data'!AC192,"")</f>
      </c>
      <c s="72">
        <f>IF('[1]Leakage Tree Data'!AD192&lt;&gt;"",'[1]Leakage Tree Data'!AD192,"")</f>
      </c>
      <c s="72">
        <f>IF('[1]Leakage Tree Data'!AE192&lt;&gt;"",'[1]Leakage Tree Data'!AE192,"")</f>
      </c>
      <c s="73">
        <f t="shared" si="164"/>
      </c>
      <c s="73">
        <f t="shared" si="165"/>
      </c>
      <c s="73">
        <f t="shared" si="166"/>
      </c>
      <c s="73">
        <f t="shared" si="167"/>
      </c>
      <c s="74">
        <f t="shared" si="168"/>
      </c>
      <c s="74">
        <f t="shared" si="169"/>
      </c>
      <c s="69">
        <f t="shared" si="170"/>
      </c>
      <c s="69">
        <f t="shared" si="171"/>
      </c>
    </row>
    <row r="294" spans="1:140" s="92" customFormat="1" ht="15">
      <c r="A294"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141"/>
      </c>
      <c s="75">
        <f t="shared" si="142"/>
      </c>
      <c s="76">
        <f t="shared" si="143"/>
      </c>
      <c s="75">
        <f t="shared" si="144"/>
      </c>
      <c s="76">
        <f t="shared" si="145"/>
      </c>
      <c s="75">
        <f t="shared" si="146"/>
      </c>
      <c s="76">
        <f t="shared" si="147"/>
      </c>
      <c s="75">
        <f t="shared" si="148"/>
      </c>
      <c s="76">
        <f t="shared" si="149"/>
      </c>
      <c s="75">
        <f t="shared" si="150"/>
      </c>
      <c s="76">
        <f t="shared" si="151"/>
      </c>
      <c s="75">
        <f t="shared" si="152"/>
      </c>
      <c s="76">
        <f t="shared" si="153"/>
      </c>
      <c s="75">
        <f t="shared" si="154"/>
      </c>
      <c s="76">
        <f t="shared" si="155"/>
      </c>
      <c s="75">
        <f t="shared" si="156"/>
      </c>
      <c s="76">
        <f t="shared" si="157"/>
      </c>
      <c s="75">
        <f t="shared" si="158"/>
      </c>
      <c s="76">
        <f t="shared" si="159"/>
      </c>
      <c s="75">
        <f t="shared" si="160"/>
      </c>
      <c s="76">
        <f t="shared" si="161"/>
      </c>
      <c s="65">
        <f t="shared" si="162"/>
      </c>
      <c s="65">
        <f t="shared" si="163"/>
      </c>
      <c s="72">
        <f>IF('[1]Leakage Tree Data'!A193&lt;&gt;"",'[1]Leakage Tree Data'!A193,"")</f>
      </c>
      <c s="72">
        <f>IF('[1]Leakage Tree Data'!B193&lt;&gt;"",'[1]Leakage Tree Data'!B193,"")</f>
      </c>
      <c s="72">
        <f>IF('[1]Leakage Tree Data'!C193&lt;&gt;"",'[1]Leakage Tree Data'!C193,"")</f>
      </c>
      <c s="72">
        <f>IF('[1]Leakage Tree Data'!D193&lt;&gt;"",'[1]Leakage Tree Data'!D193,"")</f>
      </c>
      <c s="72">
        <f>IF('[1]Leakage Tree Data'!E193&lt;&gt;"",'[1]Leakage Tree Data'!E193,"")</f>
      </c>
      <c s="72">
        <f>IF('[1]Leakage Tree Data'!F193&lt;&gt;"",'[1]Leakage Tree Data'!F193,"")</f>
      </c>
      <c s="72">
        <f>IF('[1]Leakage Tree Data'!G193&lt;&gt;"",'[1]Leakage Tree Data'!G193,"")</f>
      </c>
      <c s="72">
        <f>IF('[1]Leakage Tree Data'!H193&lt;&gt;"",'[1]Leakage Tree Data'!H193,"")</f>
      </c>
      <c s="72">
        <f>IF('[1]Leakage Tree Data'!I193&lt;&gt;"",'[1]Leakage Tree Data'!I193,"")</f>
      </c>
      <c s="72">
        <f>IF('[1]Leakage Tree Data'!J193&lt;&gt;"",'[1]Leakage Tree Data'!J193,"")</f>
      </c>
      <c s="72">
        <f>IF('[1]Leakage Tree Data'!K193&lt;&gt;"",'[1]Leakage Tree Data'!K193,"")</f>
      </c>
      <c s="72">
        <f>IF('[1]Leakage Tree Data'!L193&lt;&gt;"",'[1]Leakage Tree Data'!L193,"")</f>
      </c>
      <c s="72">
        <f>IF('[1]Leakage Tree Data'!M193&lt;&gt;"",'[1]Leakage Tree Data'!M193,"")</f>
      </c>
      <c s="72">
        <f>IF('[1]Leakage Tree Data'!N193&lt;&gt;"",'[1]Leakage Tree Data'!N193,"")</f>
      </c>
      <c s="72">
        <f>IF('[1]Leakage Tree Data'!O193&lt;&gt;"",'[1]Leakage Tree Data'!O193,"")</f>
      </c>
      <c s="72">
        <f>IF('[1]Leakage Tree Data'!P193&lt;&gt;"",'[1]Leakage Tree Data'!P193,"")</f>
      </c>
      <c s="72">
        <f>IF('[1]Leakage Tree Data'!Q193&lt;&gt;"",'[1]Leakage Tree Data'!Q193,"")</f>
      </c>
      <c s="72">
        <f>IF('[1]Leakage Tree Data'!R193&lt;&gt;"",'[1]Leakage Tree Data'!R193,"")</f>
      </c>
      <c s="72">
        <f>IF('[1]Leakage Tree Data'!S193&lt;&gt;"",'[1]Leakage Tree Data'!S193,"")</f>
      </c>
      <c s="72">
        <f>IF('[1]Leakage Tree Data'!T193&lt;&gt;"",'[1]Leakage Tree Data'!T193,"")</f>
      </c>
      <c s="72">
        <f>IF('[1]Leakage Tree Data'!U193&lt;&gt;"",'[1]Leakage Tree Data'!U193,"")</f>
      </c>
      <c s="72">
        <f>IF('[1]Leakage Tree Data'!V193&lt;&gt;"",'[1]Leakage Tree Data'!V193,"")</f>
      </c>
      <c s="72">
        <f>IF('[1]Leakage Tree Data'!W193&lt;&gt;"",'[1]Leakage Tree Data'!W193,"")</f>
      </c>
      <c s="72">
        <f>IF('[1]Leakage Tree Data'!X193&lt;&gt;"",'[1]Leakage Tree Data'!X193,"")</f>
      </c>
      <c s="72">
        <f>IF('[1]Leakage Tree Data'!Y193&lt;&gt;"",'[1]Leakage Tree Data'!Y193,"")</f>
      </c>
      <c s="72">
        <f>IF('[1]Leakage Tree Data'!Z193&lt;&gt;"",'[1]Leakage Tree Data'!Z193,"")</f>
      </c>
      <c s="72">
        <f>IF('[1]Leakage Tree Data'!AA193&lt;&gt;"",'[1]Leakage Tree Data'!AA193,"")</f>
      </c>
      <c s="72">
        <f>IF('[1]Leakage Tree Data'!AB193&lt;&gt;"",'[1]Leakage Tree Data'!AB193,"")</f>
      </c>
      <c s="72">
        <f>IF('[1]Leakage Tree Data'!AC193&lt;&gt;"",'[1]Leakage Tree Data'!AC193,"")</f>
      </c>
      <c s="72">
        <f>IF('[1]Leakage Tree Data'!AD193&lt;&gt;"",'[1]Leakage Tree Data'!AD193,"")</f>
      </c>
      <c s="72">
        <f>IF('[1]Leakage Tree Data'!AE193&lt;&gt;"",'[1]Leakage Tree Data'!AE193,"")</f>
      </c>
      <c s="73">
        <f t="shared" si="164"/>
      </c>
      <c s="73">
        <f t="shared" si="165"/>
      </c>
      <c s="73">
        <f t="shared" si="166"/>
      </c>
      <c s="73">
        <f t="shared" si="167"/>
      </c>
      <c s="74">
        <f t="shared" si="168"/>
      </c>
      <c s="74">
        <f t="shared" si="169"/>
      </c>
      <c s="69">
        <f t="shared" si="170"/>
      </c>
      <c s="69">
        <f t="shared" si="171"/>
      </c>
    </row>
    <row r="295" spans="1:140" s="92" customFormat="1" ht="15">
      <c r="A295"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141"/>
      </c>
      <c s="75">
        <f t="shared" si="142"/>
      </c>
      <c s="76">
        <f t="shared" si="143"/>
      </c>
      <c s="75">
        <f t="shared" si="144"/>
      </c>
      <c s="76">
        <f t="shared" si="145"/>
      </c>
      <c s="75">
        <f t="shared" si="146"/>
      </c>
      <c s="76">
        <f t="shared" si="147"/>
      </c>
      <c s="75">
        <f t="shared" si="148"/>
      </c>
      <c s="76">
        <f t="shared" si="149"/>
      </c>
      <c s="75">
        <f t="shared" si="150"/>
      </c>
      <c s="76">
        <f t="shared" si="151"/>
      </c>
      <c s="75">
        <f t="shared" si="152"/>
      </c>
      <c s="76">
        <f t="shared" si="153"/>
      </c>
      <c s="75">
        <f t="shared" si="154"/>
      </c>
      <c s="76">
        <f t="shared" si="155"/>
      </c>
      <c s="75">
        <f t="shared" si="156"/>
      </c>
      <c s="76">
        <f t="shared" si="157"/>
      </c>
      <c s="75">
        <f t="shared" si="158"/>
      </c>
      <c s="76">
        <f t="shared" si="159"/>
      </c>
      <c s="75">
        <f t="shared" si="160"/>
      </c>
      <c s="76">
        <f t="shared" si="161"/>
      </c>
      <c s="65">
        <f t="shared" si="162"/>
      </c>
      <c s="65">
        <f t="shared" si="163"/>
      </c>
      <c s="72">
        <f>IF('[1]Leakage Tree Data'!A194&lt;&gt;"",'[1]Leakage Tree Data'!A194,"")</f>
      </c>
      <c s="72">
        <f>IF('[1]Leakage Tree Data'!B194&lt;&gt;"",'[1]Leakage Tree Data'!B194,"")</f>
      </c>
      <c s="72">
        <f>IF('[1]Leakage Tree Data'!C194&lt;&gt;"",'[1]Leakage Tree Data'!C194,"")</f>
      </c>
      <c s="72">
        <f>IF('[1]Leakage Tree Data'!D194&lt;&gt;"",'[1]Leakage Tree Data'!D194,"")</f>
      </c>
      <c s="72">
        <f>IF('[1]Leakage Tree Data'!E194&lt;&gt;"",'[1]Leakage Tree Data'!E194,"")</f>
      </c>
      <c s="72">
        <f>IF('[1]Leakage Tree Data'!F194&lt;&gt;"",'[1]Leakage Tree Data'!F194,"")</f>
      </c>
      <c s="72">
        <f>IF('[1]Leakage Tree Data'!G194&lt;&gt;"",'[1]Leakage Tree Data'!G194,"")</f>
      </c>
      <c s="72">
        <f>IF('[1]Leakage Tree Data'!H194&lt;&gt;"",'[1]Leakage Tree Data'!H194,"")</f>
      </c>
      <c s="72">
        <f>IF('[1]Leakage Tree Data'!I194&lt;&gt;"",'[1]Leakage Tree Data'!I194,"")</f>
      </c>
      <c s="72">
        <f>IF('[1]Leakage Tree Data'!J194&lt;&gt;"",'[1]Leakage Tree Data'!J194,"")</f>
      </c>
      <c s="72">
        <f>IF('[1]Leakage Tree Data'!K194&lt;&gt;"",'[1]Leakage Tree Data'!K194,"")</f>
      </c>
      <c s="72">
        <f>IF('[1]Leakage Tree Data'!L194&lt;&gt;"",'[1]Leakage Tree Data'!L194,"")</f>
      </c>
      <c s="72">
        <f>IF('[1]Leakage Tree Data'!M194&lt;&gt;"",'[1]Leakage Tree Data'!M194,"")</f>
      </c>
      <c s="72">
        <f>IF('[1]Leakage Tree Data'!N194&lt;&gt;"",'[1]Leakage Tree Data'!N194,"")</f>
      </c>
      <c s="72">
        <f>IF('[1]Leakage Tree Data'!O194&lt;&gt;"",'[1]Leakage Tree Data'!O194,"")</f>
      </c>
      <c s="72">
        <f>IF('[1]Leakage Tree Data'!P194&lt;&gt;"",'[1]Leakage Tree Data'!P194,"")</f>
      </c>
      <c s="72">
        <f>IF('[1]Leakage Tree Data'!Q194&lt;&gt;"",'[1]Leakage Tree Data'!Q194,"")</f>
      </c>
      <c s="72">
        <f>IF('[1]Leakage Tree Data'!R194&lt;&gt;"",'[1]Leakage Tree Data'!R194,"")</f>
      </c>
      <c s="72">
        <f>IF('[1]Leakage Tree Data'!S194&lt;&gt;"",'[1]Leakage Tree Data'!S194,"")</f>
      </c>
      <c s="72">
        <f>IF('[1]Leakage Tree Data'!T194&lt;&gt;"",'[1]Leakage Tree Data'!T194,"")</f>
      </c>
      <c s="72">
        <f>IF('[1]Leakage Tree Data'!U194&lt;&gt;"",'[1]Leakage Tree Data'!U194,"")</f>
      </c>
      <c s="72">
        <f>IF('[1]Leakage Tree Data'!V194&lt;&gt;"",'[1]Leakage Tree Data'!V194,"")</f>
      </c>
      <c s="72">
        <f>IF('[1]Leakage Tree Data'!W194&lt;&gt;"",'[1]Leakage Tree Data'!W194,"")</f>
      </c>
      <c s="72">
        <f>IF('[1]Leakage Tree Data'!X194&lt;&gt;"",'[1]Leakage Tree Data'!X194,"")</f>
      </c>
      <c s="72">
        <f>IF('[1]Leakage Tree Data'!Y194&lt;&gt;"",'[1]Leakage Tree Data'!Y194,"")</f>
      </c>
      <c s="72">
        <f>IF('[1]Leakage Tree Data'!Z194&lt;&gt;"",'[1]Leakage Tree Data'!Z194,"")</f>
      </c>
      <c s="72">
        <f>IF('[1]Leakage Tree Data'!AA194&lt;&gt;"",'[1]Leakage Tree Data'!AA194,"")</f>
      </c>
      <c s="72">
        <f>IF('[1]Leakage Tree Data'!AB194&lt;&gt;"",'[1]Leakage Tree Data'!AB194,"")</f>
      </c>
      <c s="72">
        <f>IF('[1]Leakage Tree Data'!AC194&lt;&gt;"",'[1]Leakage Tree Data'!AC194,"")</f>
      </c>
      <c s="72">
        <f>IF('[1]Leakage Tree Data'!AD194&lt;&gt;"",'[1]Leakage Tree Data'!AD194,"")</f>
      </c>
      <c s="72">
        <f>IF('[1]Leakage Tree Data'!AE194&lt;&gt;"",'[1]Leakage Tree Data'!AE194,"")</f>
      </c>
      <c s="73">
        <f t="shared" si="164"/>
      </c>
      <c s="73">
        <f t="shared" si="165"/>
      </c>
      <c s="73">
        <f t="shared" si="166"/>
      </c>
      <c s="73">
        <f t="shared" si="167"/>
      </c>
      <c s="74">
        <f t="shared" si="168"/>
      </c>
      <c s="74">
        <f t="shared" si="169"/>
      </c>
      <c s="69">
        <f t="shared" si="170"/>
      </c>
      <c s="69">
        <f t="shared" si="171"/>
      </c>
    </row>
    <row r="296" spans="1:140" s="92" customFormat="1" ht="15">
      <c r="A296"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141"/>
      </c>
      <c s="75">
        <f t="shared" si="142"/>
      </c>
      <c s="76">
        <f t="shared" si="143"/>
      </c>
      <c s="75">
        <f t="shared" si="144"/>
      </c>
      <c s="76">
        <f t="shared" si="145"/>
      </c>
      <c s="75">
        <f t="shared" si="146"/>
      </c>
      <c s="76">
        <f t="shared" si="147"/>
      </c>
      <c s="75">
        <f t="shared" si="148"/>
      </c>
      <c s="76">
        <f t="shared" si="149"/>
      </c>
      <c s="75">
        <f t="shared" si="150"/>
      </c>
      <c s="76">
        <f t="shared" si="151"/>
      </c>
      <c s="75">
        <f t="shared" si="152"/>
      </c>
      <c s="76">
        <f t="shared" si="153"/>
      </c>
      <c s="75">
        <f t="shared" si="154"/>
      </c>
      <c s="76">
        <f t="shared" si="155"/>
      </c>
      <c s="75">
        <f t="shared" si="156"/>
      </c>
      <c s="76">
        <f t="shared" si="157"/>
      </c>
      <c s="75">
        <f t="shared" si="158"/>
      </c>
      <c s="76">
        <f t="shared" si="159"/>
      </c>
      <c s="75">
        <f t="shared" si="160"/>
      </c>
      <c s="76">
        <f t="shared" si="161"/>
      </c>
      <c s="65">
        <f t="shared" si="162"/>
      </c>
      <c s="65">
        <f t="shared" si="163"/>
      </c>
      <c s="72">
        <f>IF('[1]Leakage Tree Data'!A195&lt;&gt;"",'[1]Leakage Tree Data'!A195,"")</f>
      </c>
      <c s="72">
        <f>IF('[1]Leakage Tree Data'!B195&lt;&gt;"",'[1]Leakage Tree Data'!B195,"")</f>
      </c>
      <c s="72">
        <f>IF('[1]Leakage Tree Data'!C195&lt;&gt;"",'[1]Leakage Tree Data'!C195,"")</f>
      </c>
      <c s="72">
        <f>IF('[1]Leakage Tree Data'!D195&lt;&gt;"",'[1]Leakage Tree Data'!D195,"")</f>
      </c>
      <c s="72">
        <f>IF('[1]Leakage Tree Data'!E195&lt;&gt;"",'[1]Leakage Tree Data'!E195,"")</f>
      </c>
      <c s="72">
        <f>IF('[1]Leakage Tree Data'!F195&lt;&gt;"",'[1]Leakage Tree Data'!F195,"")</f>
      </c>
      <c s="72">
        <f>IF('[1]Leakage Tree Data'!G195&lt;&gt;"",'[1]Leakage Tree Data'!G195,"")</f>
      </c>
      <c s="72">
        <f>IF('[1]Leakage Tree Data'!H195&lt;&gt;"",'[1]Leakage Tree Data'!H195,"")</f>
      </c>
      <c s="72">
        <f>IF('[1]Leakage Tree Data'!I195&lt;&gt;"",'[1]Leakage Tree Data'!I195,"")</f>
      </c>
      <c s="72">
        <f>IF('[1]Leakage Tree Data'!J195&lt;&gt;"",'[1]Leakage Tree Data'!J195,"")</f>
      </c>
      <c s="72">
        <f>IF('[1]Leakage Tree Data'!K195&lt;&gt;"",'[1]Leakage Tree Data'!K195,"")</f>
      </c>
      <c s="72">
        <f>IF('[1]Leakage Tree Data'!L195&lt;&gt;"",'[1]Leakage Tree Data'!L195,"")</f>
      </c>
      <c s="72">
        <f>IF('[1]Leakage Tree Data'!M195&lt;&gt;"",'[1]Leakage Tree Data'!M195,"")</f>
      </c>
      <c s="72">
        <f>IF('[1]Leakage Tree Data'!N195&lt;&gt;"",'[1]Leakage Tree Data'!N195,"")</f>
      </c>
      <c s="72">
        <f>IF('[1]Leakage Tree Data'!O195&lt;&gt;"",'[1]Leakage Tree Data'!O195,"")</f>
      </c>
      <c s="72">
        <f>IF('[1]Leakage Tree Data'!P195&lt;&gt;"",'[1]Leakage Tree Data'!P195,"")</f>
      </c>
      <c s="72">
        <f>IF('[1]Leakage Tree Data'!Q195&lt;&gt;"",'[1]Leakage Tree Data'!Q195,"")</f>
      </c>
      <c s="72">
        <f>IF('[1]Leakage Tree Data'!R195&lt;&gt;"",'[1]Leakage Tree Data'!R195,"")</f>
      </c>
      <c s="72">
        <f>IF('[1]Leakage Tree Data'!S195&lt;&gt;"",'[1]Leakage Tree Data'!S195,"")</f>
      </c>
      <c s="72">
        <f>IF('[1]Leakage Tree Data'!T195&lt;&gt;"",'[1]Leakage Tree Data'!T195,"")</f>
      </c>
      <c s="72">
        <f>IF('[1]Leakage Tree Data'!U195&lt;&gt;"",'[1]Leakage Tree Data'!U195,"")</f>
      </c>
      <c s="72">
        <f>IF('[1]Leakage Tree Data'!V195&lt;&gt;"",'[1]Leakage Tree Data'!V195,"")</f>
      </c>
      <c s="72">
        <f>IF('[1]Leakage Tree Data'!W195&lt;&gt;"",'[1]Leakage Tree Data'!W195,"")</f>
      </c>
      <c s="72">
        <f>IF('[1]Leakage Tree Data'!X195&lt;&gt;"",'[1]Leakage Tree Data'!X195,"")</f>
      </c>
      <c s="72">
        <f>IF('[1]Leakage Tree Data'!Y195&lt;&gt;"",'[1]Leakage Tree Data'!Y195,"")</f>
      </c>
      <c s="72">
        <f>IF('[1]Leakage Tree Data'!Z195&lt;&gt;"",'[1]Leakage Tree Data'!Z195,"")</f>
      </c>
      <c s="72">
        <f>IF('[1]Leakage Tree Data'!AA195&lt;&gt;"",'[1]Leakage Tree Data'!AA195,"")</f>
      </c>
      <c s="72">
        <f>IF('[1]Leakage Tree Data'!AB195&lt;&gt;"",'[1]Leakage Tree Data'!AB195,"")</f>
      </c>
      <c s="72">
        <f>IF('[1]Leakage Tree Data'!AC195&lt;&gt;"",'[1]Leakage Tree Data'!AC195,"")</f>
      </c>
      <c s="72">
        <f>IF('[1]Leakage Tree Data'!AD195&lt;&gt;"",'[1]Leakage Tree Data'!AD195,"")</f>
      </c>
      <c s="72">
        <f>IF('[1]Leakage Tree Data'!AE195&lt;&gt;"",'[1]Leakage Tree Data'!AE195,"")</f>
      </c>
      <c s="73">
        <f t="shared" si="164"/>
      </c>
      <c s="73">
        <f t="shared" si="165"/>
      </c>
      <c s="73">
        <f t="shared" si="166"/>
      </c>
      <c s="73">
        <f t="shared" si="167"/>
      </c>
      <c s="74">
        <f t="shared" si="168"/>
      </c>
      <c s="74">
        <f t="shared" si="169"/>
      </c>
      <c s="69">
        <f t="shared" si="170"/>
      </c>
      <c s="69">
        <f t="shared" si="171"/>
      </c>
    </row>
    <row r="297" spans="1:140" s="92" customFormat="1" ht="15">
      <c r="A297"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141"/>
      </c>
      <c s="75">
        <f t="shared" si="142"/>
      </c>
      <c s="76">
        <f t="shared" si="143"/>
      </c>
      <c s="75">
        <f t="shared" si="144"/>
      </c>
      <c s="76">
        <f t="shared" si="145"/>
      </c>
      <c s="75">
        <f t="shared" si="146"/>
      </c>
      <c s="76">
        <f t="shared" si="147"/>
      </c>
      <c s="75">
        <f t="shared" si="148"/>
      </c>
      <c s="76">
        <f t="shared" si="149"/>
      </c>
      <c s="75">
        <f t="shared" si="150"/>
      </c>
      <c s="76">
        <f t="shared" si="151"/>
      </c>
      <c s="75">
        <f t="shared" si="152"/>
      </c>
      <c s="76">
        <f t="shared" si="153"/>
      </c>
      <c s="75">
        <f t="shared" si="154"/>
      </c>
      <c s="76">
        <f t="shared" si="155"/>
      </c>
      <c s="75">
        <f t="shared" si="156"/>
      </c>
      <c s="76">
        <f t="shared" si="157"/>
      </c>
      <c s="75">
        <f t="shared" si="158"/>
      </c>
      <c s="76">
        <f t="shared" si="159"/>
      </c>
      <c s="75">
        <f t="shared" si="160"/>
      </c>
      <c s="76">
        <f t="shared" si="161"/>
      </c>
      <c s="65">
        <f t="shared" si="162"/>
      </c>
      <c s="65">
        <f t="shared" si="163"/>
      </c>
      <c s="72">
        <f>IF('[1]Leakage Tree Data'!A196&lt;&gt;"",'[1]Leakage Tree Data'!A196,"")</f>
      </c>
      <c s="72">
        <f>IF('[1]Leakage Tree Data'!B196&lt;&gt;"",'[1]Leakage Tree Data'!B196,"")</f>
      </c>
      <c s="72">
        <f>IF('[1]Leakage Tree Data'!C196&lt;&gt;"",'[1]Leakage Tree Data'!C196,"")</f>
      </c>
      <c s="72">
        <f>IF('[1]Leakage Tree Data'!D196&lt;&gt;"",'[1]Leakage Tree Data'!D196,"")</f>
      </c>
      <c s="72">
        <f>IF('[1]Leakage Tree Data'!E196&lt;&gt;"",'[1]Leakage Tree Data'!E196,"")</f>
      </c>
      <c s="72">
        <f>IF('[1]Leakage Tree Data'!F196&lt;&gt;"",'[1]Leakage Tree Data'!F196,"")</f>
      </c>
      <c s="72">
        <f>IF('[1]Leakage Tree Data'!G196&lt;&gt;"",'[1]Leakage Tree Data'!G196,"")</f>
      </c>
      <c s="72">
        <f>IF('[1]Leakage Tree Data'!H196&lt;&gt;"",'[1]Leakage Tree Data'!H196,"")</f>
      </c>
      <c s="72">
        <f>IF('[1]Leakage Tree Data'!I196&lt;&gt;"",'[1]Leakage Tree Data'!I196,"")</f>
      </c>
      <c s="72">
        <f>IF('[1]Leakage Tree Data'!J196&lt;&gt;"",'[1]Leakage Tree Data'!J196,"")</f>
      </c>
      <c s="72">
        <f>IF('[1]Leakage Tree Data'!K196&lt;&gt;"",'[1]Leakage Tree Data'!K196,"")</f>
      </c>
      <c s="72">
        <f>IF('[1]Leakage Tree Data'!L196&lt;&gt;"",'[1]Leakage Tree Data'!L196,"")</f>
      </c>
      <c s="72">
        <f>IF('[1]Leakage Tree Data'!M196&lt;&gt;"",'[1]Leakage Tree Data'!M196,"")</f>
      </c>
      <c s="72">
        <f>IF('[1]Leakage Tree Data'!N196&lt;&gt;"",'[1]Leakage Tree Data'!N196,"")</f>
      </c>
      <c s="72">
        <f>IF('[1]Leakage Tree Data'!O196&lt;&gt;"",'[1]Leakage Tree Data'!O196,"")</f>
      </c>
      <c s="72">
        <f>IF('[1]Leakage Tree Data'!P196&lt;&gt;"",'[1]Leakage Tree Data'!P196,"")</f>
      </c>
      <c s="72">
        <f>IF('[1]Leakage Tree Data'!Q196&lt;&gt;"",'[1]Leakage Tree Data'!Q196,"")</f>
      </c>
      <c s="72">
        <f>IF('[1]Leakage Tree Data'!R196&lt;&gt;"",'[1]Leakage Tree Data'!R196,"")</f>
      </c>
      <c s="72">
        <f>IF('[1]Leakage Tree Data'!S196&lt;&gt;"",'[1]Leakage Tree Data'!S196,"")</f>
      </c>
      <c s="72">
        <f>IF('[1]Leakage Tree Data'!T196&lt;&gt;"",'[1]Leakage Tree Data'!T196,"")</f>
      </c>
      <c s="72">
        <f>IF('[1]Leakage Tree Data'!U196&lt;&gt;"",'[1]Leakage Tree Data'!U196,"")</f>
      </c>
      <c s="72">
        <f>IF('[1]Leakage Tree Data'!V196&lt;&gt;"",'[1]Leakage Tree Data'!V196,"")</f>
      </c>
      <c s="72">
        <f>IF('[1]Leakage Tree Data'!W196&lt;&gt;"",'[1]Leakage Tree Data'!W196,"")</f>
      </c>
      <c s="72">
        <f>IF('[1]Leakage Tree Data'!X196&lt;&gt;"",'[1]Leakage Tree Data'!X196,"")</f>
      </c>
      <c s="72">
        <f>IF('[1]Leakage Tree Data'!Y196&lt;&gt;"",'[1]Leakage Tree Data'!Y196,"")</f>
      </c>
      <c s="72">
        <f>IF('[1]Leakage Tree Data'!Z196&lt;&gt;"",'[1]Leakage Tree Data'!Z196,"")</f>
      </c>
      <c s="72">
        <f>IF('[1]Leakage Tree Data'!AA196&lt;&gt;"",'[1]Leakage Tree Data'!AA196,"")</f>
      </c>
      <c s="72">
        <f>IF('[1]Leakage Tree Data'!AB196&lt;&gt;"",'[1]Leakage Tree Data'!AB196,"")</f>
      </c>
      <c s="72">
        <f>IF('[1]Leakage Tree Data'!AC196&lt;&gt;"",'[1]Leakage Tree Data'!AC196,"")</f>
      </c>
      <c s="72">
        <f>IF('[1]Leakage Tree Data'!AD196&lt;&gt;"",'[1]Leakage Tree Data'!AD196,"")</f>
      </c>
      <c s="72">
        <f>IF('[1]Leakage Tree Data'!AE196&lt;&gt;"",'[1]Leakage Tree Data'!AE196,"")</f>
      </c>
      <c s="73">
        <f t="shared" si="164"/>
      </c>
      <c s="73">
        <f t="shared" si="165"/>
      </c>
      <c s="73">
        <f t="shared" si="166"/>
      </c>
      <c s="73">
        <f t="shared" si="167"/>
      </c>
      <c s="74">
        <f t="shared" si="168"/>
      </c>
      <c s="74">
        <f t="shared" si="169"/>
      </c>
      <c s="69">
        <f t="shared" si="170"/>
      </c>
      <c s="69">
        <f t="shared" si="171"/>
      </c>
    </row>
    <row r="298" spans="1:140" s="92" customFormat="1" ht="15">
      <c r="A298"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141"/>
      </c>
      <c s="75">
        <f t="shared" si="142"/>
      </c>
      <c s="76">
        <f t="shared" si="143"/>
      </c>
      <c s="75">
        <f t="shared" si="144"/>
      </c>
      <c s="76">
        <f t="shared" si="145"/>
      </c>
      <c s="75">
        <f t="shared" si="146"/>
      </c>
      <c s="76">
        <f t="shared" si="147"/>
      </c>
      <c s="75">
        <f t="shared" si="148"/>
      </c>
      <c s="76">
        <f t="shared" si="149"/>
      </c>
      <c s="75">
        <f t="shared" si="150"/>
      </c>
      <c s="76">
        <f t="shared" si="151"/>
      </c>
      <c s="75">
        <f t="shared" si="152"/>
      </c>
      <c s="76">
        <f t="shared" si="153"/>
      </c>
      <c s="75">
        <f t="shared" si="154"/>
      </c>
      <c s="76">
        <f t="shared" si="155"/>
      </c>
      <c s="75">
        <f t="shared" si="156"/>
      </c>
      <c s="76">
        <f t="shared" si="157"/>
      </c>
      <c s="75">
        <f t="shared" si="158"/>
      </c>
      <c s="76">
        <f t="shared" si="159"/>
      </c>
      <c s="75">
        <f t="shared" si="160"/>
      </c>
      <c s="76">
        <f t="shared" si="161"/>
      </c>
      <c s="65">
        <f t="shared" si="162"/>
      </c>
      <c s="65">
        <f t="shared" si="163"/>
      </c>
      <c s="72">
        <f>IF('[1]Leakage Tree Data'!A197&lt;&gt;"",'[1]Leakage Tree Data'!A197,"")</f>
      </c>
      <c s="72">
        <f>IF('[1]Leakage Tree Data'!B197&lt;&gt;"",'[1]Leakage Tree Data'!B197,"")</f>
      </c>
      <c s="72">
        <f>IF('[1]Leakage Tree Data'!C197&lt;&gt;"",'[1]Leakage Tree Data'!C197,"")</f>
      </c>
      <c s="72">
        <f>IF('[1]Leakage Tree Data'!D197&lt;&gt;"",'[1]Leakage Tree Data'!D197,"")</f>
      </c>
      <c s="72">
        <f>IF('[1]Leakage Tree Data'!E197&lt;&gt;"",'[1]Leakage Tree Data'!E197,"")</f>
      </c>
      <c s="72">
        <f>IF('[1]Leakage Tree Data'!F197&lt;&gt;"",'[1]Leakage Tree Data'!F197,"")</f>
      </c>
      <c s="72">
        <f>IF('[1]Leakage Tree Data'!G197&lt;&gt;"",'[1]Leakage Tree Data'!G197,"")</f>
      </c>
      <c s="72">
        <f>IF('[1]Leakage Tree Data'!H197&lt;&gt;"",'[1]Leakage Tree Data'!H197,"")</f>
      </c>
      <c s="72">
        <f>IF('[1]Leakage Tree Data'!I197&lt;&gt;"",'[1]Leakage Tree Data'!I197,"")</f>
      </c>
      <c s="72">
        <f>IF('[1]Leakage Tree Data'!J197&lt;&gt;"",'[1]Leakage Tree Data'!J197,"")</f>
      </c>
      <c s="72">
        <f>IF('[1]Leakage Tree Data'!K197&lt;&gt;"",'[1]Leakage Tree Data'!K197,"")</f>
      </c>
      <c s="72">
        <f>IF('[1]Leakage Tree Data'!L197&lt;&gt;"",'[1]Leakage Tree Data'!L197,"")</f>
      </c>
      <c s="72">
        <f>IF('[1]Leakage Tree Data'!M197&lt;&gt;"",'[1]Leakage Tree Data'!M197,"")</f>
      </c>
      <c s="72">
        <f>IF('[1]Leakage Tree Data'!N197&lt;&gt;"",'[1]Leakage Tree Data'!N197,"")</f>
      </c>
      <c s="72">
        <f>IF('[1]Leakage Tree Data'!O197&lt;&gt;"",'[1]Leakage Tree Data'!O197,"")</f>
      </c>
      <c s="72">
        <f>IF('[1]Leakage Tree Data'!P197&lt;&gt;"",'[1]Leakage Tree Data'!P197,"")</f>
      </c>
      <c s="72">
        <f>IF('[1]Leakage Tree Data'!Q197&lt;&gt;"",'[1]Leakage Tree Data'!Q197,"")</f>
      </c>
      <c s="72">
        <f>IF('[1]Leakage Tree Data'!R197&lt;&gt;"",'[1]Leakage Tree Data'!R197,"")</f>
      </c>
      <c s="72">
        <f>IF('[1]Leakage Tree Data'!S197&lt;&gt;"",'[1]Leakage Tree Data'!S197,"")</f>
      </c>
      <c s="72">
        <f>IF('[1]Leakage Tree Data'!T197&lt;&gt;"",'[1]Leakage Tree Data'!T197,"")</f>
      </c>
      <c s="72">
        <f>IF('[1]Leakage Tree Data'!U197&lt;&gt;"",'[1]Leakage Tree Data'!U197,"")</f>
      </c>
      <c s="72">
        <f>IF('[1]Leakage Tree Data'!V197&lt;&gt;"",'[1]Leakage Tree Data'!V197,"")</f>
      </c>
      <c s="72">
        <f>IF('[1]Leakage Tree Data'!W197&lt;&gt;"",'[1]Leakage Tree Data'!W197,"")</f>
      </c>
      <c s="72">
        <f>IF('[1]Leakage Tree Data'!X197&lt;&gt;"",'[1]Leakage Tree Data'!X197,"")</f>
      </c>
      <c s="72">
        <f>IF('[1]Leakage Tree Data'!Y197&lt;&gt;"",'[1]Leakage Tree Data'!Y197,"")</f>
      </c>
      <c s="72">
        <f>IF('[1]Leakage Tree Data'!Z197&lt;&gt;"",'[1]Leakage Tree Data'!Z197,"")</f>
      </c>
      <c s="72">
        <f>IF('[1]Leakage Tree Data'!AA197&lt;&gt;"",'[1]Leakage Tree Data'!AA197,"")</f>
      </c>
      <c s="72">
        <f>IF('[1]Leakage Tree Data'!AB197&lt;&gt;"",'[1]Leakage Tree Data'!AB197,"")</f>
      </c>
      <c s="72">
        <f>IF('[1]Leakage Tree Data'!AC197&lt;&gt;"",'[1]Leakage Tree Data'!AC197,"")</f>
      </c>
      <c s="72">
        <f>IF('[1]Leakage Tree Data'!AD197&lt;&gt;"",'[1]Leakage Tree Data'!AD197,"")</f>
      </c>
      <c s="72">
        <f>IF('[1]Leakage Tree Data'!AE197&lt;&gt;"",'[1]Leakage Tree Data'!AE197,"")</f>
      </c>
      <c s="73">
        <f t="shared" si="164"/>
      </c>
      <c s="73">
        <f t="shared" si="165"/>
      </c>
      <c s="73">
        <f t="shared" si="166"/>
      </c>
      <c s="73">
        <f t="shared" si="167"/>
      </c>
      <c s="74">
        <f t="shared" si="168"/>
      </c>
      <c s="74">
        <f t="shared" si="169"/>
      </c>
      <c s="69">
        <f t="shared" si="170"/>
      </c>
      <c s="69">
        <f t="shared" si="171"/>
      </c>
    </row>
    <row r="299" spans="1:140" s="92" customFormat="1" ht="15">
      <c r="A299"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141"/>
      </c>
      <c s="75">
        <f t="shared" si="142"/>
      </c>
      <c s="76">
        <f t="shared" si="143"/>
      </c>
      <c s="75">
        <f t="shared" si="144"/>
      </c>
      <c s="76">
        <f t="shared" si="145"/>
      </c>
      <c s="75">
        <f t="shared" si="146"/>
      </c>
      <c s="76">
        <f t="shared" si="147"/>
      </c>
      <c s="75">
        <f t="shared" si="148"/>
      </c>
      <c s="76">
        <f t="shared" si="149"/>
      </c>
      <c s="75">
        <f t="shared" si="150"/>
      </c>
      <c s="76">
        <f t="shared" si="151"/>
      </c>
      <c s="75">
        <f t="shared" si="152"/>
      </c>
      <c s="76">
        <f t="shared" si="153"/>
      </c>
      <c s="75">
        <f t="shared" si="154"/>
      </c>
      <c s="76">
        <f t="shared" si="155"/>
      </c>
      <c s="75">
        <f t="shared" si="156"/>
      </c>
      <c s="76">
        <f t="shared" si="157"/>
      </c>
      <c s="75">
        <f t="shared" si="158"/>
      </c>
      <c s="76">
        <f t="shared" si="159"/>
      </c>
      <c s="75">
        <f t="shared" si="160"/>
      </c>
      <c s="76">
        <f t="shared" si="161"/>
      </c>
      <c s="65">
        <f t="shared" si="162"/>
      </c>
      <c s="65">
        <f t="shared" si="163"/>
      </c>
      <c s="72">
        <f>IF('[1]Leakage Tree Data'!A198&lt;&gt;"",'[1]Leakage Tree Data'!A198,"")</f>
      </c>
      <c s="72">
        <f>IF('[1]Leakage Tree Data'!B198&lt;&gt;"",'[1]Leakage Tree Data'!B198,"")</f>
      </c>
      <c s="72">
        <f>IF('[1]Leakage Tree Data'!C198&lt;&gt;"",'[1]Leakage Tree Data'!C198,"")</f>
      </c>
      <c s="72">
        <f>IF('[1]Leakage Tree Data'!D198&lt;&gt;"",'[1]Leakage Tree Data'!D198,"")</f>
      </c>
      <c s="72">
        <f>IF('[1]Leakage Tree Data'!E198&lt;&gt;"",'[1]Leakage Tree Data'!E198,"")</f>
      </c>
      <c s="72">
        <f>IF('[1]Leakage Tree Data'!F198&lt;&gt;"",'[1]Leakage Tree Data'!F198,"")</f>
      </c>
      <c s="72">
        <f>IF('[1]Leakage Tree Data'!G198&lt;&gt;"",'[1]Leakage Tree Data'!G198,"")</f>
      </c>
      <c s="72">
        <f>IF('[1]Leakage Tree Data'!H198&lt;&gt;"",'[1]Leakage Tree Data'!H198,"")</f>
      </c>
      <c s="72">
        <f>IF('[1]Leakage Tree Data'!I198&lt;&gt;"",'[1]Leakage Tree Data'!I198,"")</f>
      </c>
      <c s="72">
        <f>IF('[1]Leakage Tree Data'!J198&lt;&gt;"",'[1]Leakage Tree Data'!J198,"")</f>
      </c>
      <c s="72">
        <f>IF('[1]Leakage Tree Data'!K198&lt;&gt;"",'[1]Leakage Tree Data'!K198,"")</f>
      </c>
      <c s="72">
        <f>IF('[1]Leakage Tree Data'!L198&lt;&gt;"",'[1]Leakage Tree Data'!L198,"")</f>
      </c>
      <c s="72">
        <f>IF('[1]Leakage Tree Data'!M198&lt;&gt;"",'[1]Leakage Tree Data'!M198,"")</f>
      </c>
      <c s="72">
        <f>IF('[1]Leakage Tree Data'!N198&lt;&gt;"",'[1]Leakage Tree Data'!N198,"")</f>
      </c>
      <c s="72">
        <f>IF('[1]Leakage Tree Data'!O198&lt;&gt;"",'[1]Leakage Tree Data'!O198,"")</f>
      </c>
      <c s="72">
        <f>IF('[1]Leakage Tree Data'!P198&lt;&gt;"",'[1]Leakage Tree Data'!P198,"")</f>
      </c>
      <c s="72">
        <f>IF('[1]Leakage Tree Data'!Q198&lt;&gt;"",'[1]Leakage Tree Data'!Q198,"")</f>
      </c>
      <c s="72">
        <f>IF('[1]Leakage Tree Data'!R198&lt;&gt;"",'[1]Leakage Tree Data'!R198,"")</f>
      </c>
      <c s="72">
        <f>IF('[1]Leakage Tree Data'!S198&lt;&gt;"",'[1]Leakage Tree Data'!S198,"")</f>
      </c>
      <c s="72">
        <f>IF('[1]Leakage Tree Data'!T198&lt;&gt;"",'[1]Leakage Tree Data'!T198,"")</f>
      </c>
      <c s="72">
        <f>IF('[1]Leakage Tree Data'!U198&lt;&gt;"",'[1]Leakage Tree Data'!U198,"")</f>
      </c>
      <c s="72">
        <f>IF('[1]Leakage Tree Data'!V198&lt;&gt;"",'[1]Leakage Tree Data'!V198,"")</f>
      </c>
      <c s="72">
        <f>IF('[1]Leakage Tree Data'!W198&lt;&gt;"",'[1]Leakage Tree Data'!W198,"")</f>
      </c>
      <c s="72">
        <f>IF('[1]Leakage Tree Data'!X198&lt;&gt;"",'[1]Leakage Tree Data'!X198,"")</f>
      </c>
      <c s="72">
        <f>IF('[1]Leakage Tree Data'!Y198&lt;&gt;"",'[1]Leakage Tree Data'!Y198,"")</f>
      </c>
      <c s="72">
        <f>IF('[1]Leakage Tree Data'!Z198&lt;&gt;"",'[1]Leakage Tree Data'!Z198,"")</f>
      </c>
      <c s="72">
        <f>IF('[1]Leakage Tree Data'!AA198&lt;&gt;"",'[1]Leakage Tree Data'!AA198,"")</f>
      </c>
      <c s="72">
        <f>IF('[1]Leakage Tree Data'!AB198&lt;&gt;"",'[1]Leakage Tree Data'!AB198,"")</f>
      </c>
      <c s="72">
        <f>IF('[1]Leakage Tree Data'!AC198&lt;&gt;"",'[1]Leakage Tree Data'!AC198,"")</f>
      </c>
      <c s="72">
        <f>IF('[1]Leakage Tree Data'!AD198&lt;&gt;"",'[1]Leakage Tree Data'!AD198,"")</f>
      </c>
      <c s="72">
        <f>IF('[1]Leakage Tree Data'!AE198&lt;&gt;"",'[1]Leakage Tree Data'!AE198,"")</f>
      </c>
      <c s="73">
        <f t="shared" si="164"/>
      </c>
      <c s="73">
        <f t="shared" si="165"/>
      </c>
      <c s="73">
        <f t="shared" si="166"/>
      </c>
      <c s="73">
        <f t="shared" si="167"/>
      </c>
      <c s="74">
        <f t="shared" si="168"/>
      </c>
      <c s="74">
        <f t="shared" si="169"/>
      </c>
      <c s="69">
        <f t="shared" si="170"/>
      </c>
      <c s="69">
        <f t="shared" si="171"/>
      </c>
    </row>
    <row r="300" spans="1:140" s="92" customFormat="1" ht="15">
      <c r="A300"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141"/>
      </c>
      <c s="75">
        <f t="shared" si="142"/>
      </c>
      <c s="76">
        <f t="shared" si="143"/>
      </c>
      <c s="75">
        <f t="shared" si="144"/>
      </c>
      <c s="76">
        <f t="shared" si="145"/>
      </c>
      <c s="75">
        <f t="shared" si="146"/>
      </c>
      <c s="76">
        <f t="shared" si="147"/>
      </c>
      <c s="75">
        <f t="shared" si="148"/>
      </c>
      <c s="76">
        <f t="shared" si="149"/>
      </c>
      <c s="75">
        <f t="shared" si="150"/>
      </c>
      <c s="76">
        <f t="shared" si="151"/>
      </c>
      <c s="75">
        <f t="shared" si="152"/>
      </c>
      <c s="76">
        <f t="shared" si="153"/>
      </c>
      <c s="75">
        <f t="shared" si="154"/>
      </c>
      <c s="76">
        <f t="shared" si="155"/>
      </c>
      <c s="75">
        <f t="shared" si="156"/>
      </c>
      <c s="76">
        <f t="shared" si="157"/>
      </c>
      <c s="75">
        <f t="shared" si="158"/>
      </c>
      <c s="76">
        <f t="shared" si="159"/>
      </c>
      <c s="75">
        <f t="shared" si="160"/>
      </c>
      <c s="76">
        <f t="shared" si="161"/>
      </c>
      <c s="65">
        <f t="shared" si="162"/>
      </c>
      <c s="65">
        <f t="shared" si="163"/>
      </c>
      <c s="72">
        <f>IF('[1]Leakage Tree Data'!A199&lt;&gt;"",'[1]Leakage Tree Data'!A199,"")</f>
      </c>
      <c s="72">
        <f>IF('[1]Leakage Tree Data'!B199&lt;&gt;"",'[1]Leakage Tree Data'!B199,"")</f>
      </c>
      <c s="72">
        <f>IF('[1]Leakage Tree Data'!C199&lt;&gt;"",'[1]Leakage Tree Data'!C199,"")</f>
      </c>
      <c s="72">
        <f>IF('[1]Leakage Tree Data'!D199&lt;&gt;"",'[1]Leakage Tree Data'!D199,"")</f>
      </c>
      <c s="72">
        <f>IF('[1]Leakage Tree Data'!E199&lt;&gt;"",'[1]Leakage Tree Data'!E199,"")</f>
      </c>
      <c s="72">
        <f>IF('[1]Leakage Tree Data'!F199&lt;&gt;"",'[1]Leakage Tree Data'!F199,"")</f>
      </c>
      <c s="72">
        <f>IF('[1]Leakage Tree Data'!G199&lt;&gt;"",'[1]Leakage Tree Data'!G199,"")</f>
      </c>
      <c s="72">
        <f>IF('[1]Leakage Tree Data'!H199&lt;&gt;"",'[1]Leakage Tree Data'!H199,"")</f>
      </c>
      <c s="72">
        <f>IF('[1]Leakage Tree Data'!I199&lt;&gt;"",'[1]Leakage Tree Data'!I199,"")</f>
      </c>
      <c s="72">
        <f>IF('[1]Leakage Tree Data'!J199&lt;&gt;"",'[1]Leakage Tree Data'!J199,"")</f>
      </c>
      <c s="72">
        <f>IF('[1]Leakage Tree Data'!K199&lt;&gt;"",'[1]Leakage Tree Data'!K199,"")</f>
      </c>
      <c s="72">
        <f>IF('[1]Leakage Tree Data'!L199&lt;&gt;"",'[1]Leakage Tree Data'!L199,"")</f>
      </c>
      <c s="72">
        <f>IF('[1]Leakage Tree Data'!M199&lt;&gt;"",'[1]Leakage Tree Data'!M199,"")</f>
      </c>
      <c s="72">
        <f>IF('[1]Leakage Tree Data'!N199&lt;&gt;"",'[1]Leakage Tree Data'!N199,"")</f>
      </c>
      <c s="72">
        <f>IF('[1]Leakage Tree Data'!O199&lt;&gt;"",'[1]Leakage Tree Data'!O199,"")</f>
      </c>
      <c s="72">
        <f>IF('[1]Leakage Tree Data'!P199&lt;&gt;"",'[1]Leakage Tree Data'!P199,"")</f>
      </c>
      <c s="72">
        <f>IF('[1]Leakage Tree Data'!Q199&lt;&gt;"",'[1]Leakage Tree Data'!Q199,"")</f>
      </c>
      <c s="72">
        <f>IF('[1]Leakage Tree Data'!R199&lt;&gt;"",'[1]Leakage Tree Data'!R199,"")</f>
      </c>
      <c s="72">
        <f>IF('[1]Leakage Tree Data'!S199&lt;&gt;"",'[1]Leakage Tree Data'!S199,"")</f>
      </c>
      <c s="72">
        <f>IF('[1]Leakage Tree Data'!T199&lt;&gt;"",'[1]Leakage Tree Data'!T199,"")</f>
      </c>
      <c s="72">
        <f>IF('[1]Leakage Tree Data'!U199&lt;&gt;"",'[1]Leakage Tree Data'!U199,"")</f>
      </c>
      <c s="72">
        <f>IF('[1]Leakage Tree Data'!V199&lt;&gt;"",'[1]Leakage Tree Data'!V199,"")</f>
      </c>
      <c s="72">
        <f>IF('[1]Leakage Tree Data'!W199&lt;&gt;"",'[1]Leakage Tree Data'!W199,"")</f>
      </c>
      <c s="72">
        <f>IF('[1]Leakage Tree Data'!X199&lt;&gt;"",'[1]Leakage Tree Data'!X199,"")</f>
      </c>
      <c s="72">
        <f>IF('[1]Leakage Tree Data'!Y199&lt;&gt;"",'[1]Leakage Tree Data'!Y199,"")</f>
      </c>
      <c s="72">
        <f>IF('[1]Leakage Tree Data'!Z199&lt;&gt;"",'[1]Leakage Tree Data'!Z199,"")</f>
      </c>
      <c s="72">
        <f>IF('[1]Leakage Tree Data'!AA199&lt;&gt;"",'[1]Leakage Tree Data'!AA199,"")</f>
      </c>
      <c s="72">
        <f>IF('[1]Leakage Tree Data'!AB199&lt;&gt;"",'[1]Leakage Tree Data'!AB199,"")</f>
      </c>
      <c s="72">
        <f>IF('[1]Leakage Tree Data'!AC199&lt;&gt;"",'[1]Leakage Tree Data'!AC199,"")</f>
      </c>
      <c s="72">
        <f>IF('[1]Leakage Tree Data'!AD199&lt;&gt;"",'[1]Leakage Tree Data'!AD199,"")</f>
      </c>
      <c s="72">
        <f>IF('[1]Leakage Tree Data'!AE199&lt;&gt;"",'[1]Leakage Tree Data'!AE199,"")</f>
      </c>
      <c s="73">
        <f t="shared" si="164"/>
      </c>
      <c s="73">
        <f t="shared" si="165"/>
      </c>
      <c s="73">
        <f t="shared" si="166"/>
      </c>
      <c s="73">
        <f t="shared" si="167"/>
      </c>
      <c s="74">
        <f t="shared" si="168"/>
      </c>
      <c s="74">
        <f t="shared" si="169"/>
      </c>
      <c s="69">
        <f t="shared" si="170"/>
      </c>
      <c s="69">
        <f t="shared" si="171"/>
      </c>
    </row>
    <row r="301" spans="1:1" ht="14.25">
      <c r="A301" s="19" t="s">
        <v>43</v>
      </c>
    </row>
    <row r="302" spans="1:12" ht="15">
      <c r="A302" s="19" t="s">
        <v>54</v>
      </c>
      <c r="L302"/>
    </row>
    <row r="303" spans="1:12" ht="15">
      <c r="A303" s="19" t="s">
        <v>55</v>
      </c>
      <c r="L303"/>
    </row>
    <row r="304" spans="1:12" ht="15">
      <c r="A304" s="19" t="s">
        <v>56</v>
      </c>
      <c r="L304"/>
    </row>
    <row r="305" spans="1:12" ht="15">
      <c r="A305" s="19" t="s">
        <v>57</v>
      </c>
      <c r="L305"/>
    </row>
    <row r="306" spans="1:12" ht="15">
      <c r="A306" s="19" t="s">
        <v>58</v>
      </c>
      <c r="L306"/>
    </row>
    <row r="307" spans="1:12" ht="15">
      <c r="A307" s="19" t="s">
        <v>59</v>
      </c>
      <c r="L307"/>
    </row>
    <row r="308" spans="1:12" ht="15">
      <c r="A308" s="19" t="s">
        <v>60</v>
      </c>
      <c r="L308"/>
    </row>
    <row r="309" spans="1:12" ht="15">
      <c r="A309" s="19" t="s">
        <v>61</v>
      </c>
      <c r="L309"/>
    </row>
    <row r="310" spans="1:12" ht="15">
      <c r="A310" s="19" t="s">
        <v>62</v>
      </c>
      <c r="L310"/>
    </row>
    <row r="311" spans="1:12" ht="15">
      <c r="A311" s="19" t="s">
        <v>63</v>
      </c>
      <c r="L311"/>
    </row>
    <row r="312" spans="1:12" ht="15">
      <c r="A312" s="19" t="s">
        <v>64</v>
      </c>
      <c r="L312"/>
    </row>
    <row r="313" spans="1:12" ht="15">
      <c r="A313" s="19" t="s">
        <v>65</v>
      </c>
      <c r="L313"/>
    </row>
    <row r="314" spans="1:12" ht="15">
      <c r="A314" s="19" t="s">
        <v>66</v>
      </c>
      <c r="L314"/>
    </row>
    <row r="315" spans="1:12" s="112" customFormat="1" ht="15">
      <c r="A315" s="112" t="s">
        <v>472</v>
      </c>
      <c r="L315"/>
    </row>
    <row r="316" spans="1:12" s="112" customFormat="1" ht="15">
      <c r="A316" s="113" t="s">
        <v>468</v>
      </c>
      <c s="113"/>
      <c s="113"/>
      <c r="L316"/>
    </row>
    <row r="317" spans="1:12" s="112" customFormat="1" ht="15">
      <c r="A317" s="113" t="s">
        <v>469</v>
      </c>
      <c s="113"/>
      <c s="113"/>
      <c r="L317"/>
    </row>
    <row r="318" spans="1:12" s="112" customFormat="1" ht="15">
      <c r="A318" s="113" t="s">
        <v>470</v>
      </c>
      <c s="113"/>
      <c s="113"/>
      <c r="L318"/>
    </row>
    <row r="319" spans="1:12" ht="15">
      <c r="A319" s="113" t="s">
        <v>471</v>
      </c>
      <c s="113"/>
      <c s="113"/>
      <c r="L319"/>
    </row>
    <row r="320" spans="12:12" ht="15">
      <c r="L320"/>
    </row>
    <row r="321" spans="12:12" ht="15">
      <c r="L321"/>
    </row>
    <row r="328" spans="1:4" ht="15">
      <c r="A328"/>
      <c/>
      <c/>
      <c/>
    </row>
    <row r="329" spans="1:4" ht="15">
      <c r="A329"/>
      <c/>
      <c/>
      <c/>
    </row>
    <row r="330" spans="1:4" ht="15">
      <c r="A330"/>
      <c/>
      <c/>
      <c/>
    </row>
    <row r="331" spans="1:4" ht="15">
      <c r="A331"/>
      <c/>
      <c/>
      <c/>
    </row>
    <row r="332" spans="1:4" ht="15">
      <c r="A332"/>
      <c/>
      <c/>
      <c/>
    </row>
    <row r="333" spans="1:4" ht="15">
      <c r="A333"/>
      <c/>
      <c/>
      <c/>
    </row>
    <row r="334" spans="1:4" ht="15">
      <c r="A334"/>
      <c/>
      <c/>
      <c/>
    </row>
    <row r="335" spans="1:4" ht="15">
      <c r="A335"/>
      <c/>
      <c/>
      <c/>
    </row>
    <row r="336" spans="1:4" ht="15">
      <c r="A336"/>
      <c/>
      <c/>
      <c/>
    </row>
    <row r="337" spans="1:4" ht="15">
      <c r="A337"/>
      <c/>
      <c/>
      <c/>
    </row>
    <row r="338" spans="1:4" ht="15">
      <c r="A338"/>
      <c/>
      <c/>
      <c/>
    </row>
    <row r="339" spans="1:4" ht="15">
      <c r="A339"/>
      <c/>
      <c/>
      <c/>
    </row>
    <row r="340" spans="1:4" ht="15">
      <c r="A340"/>
      <c/>
      <c/>
      <c/>
    </row>
    <row r="341" spans="1:4" ht="15">
      <c r="A341"/>
      <c/>
      <c/>
      <c/>
    </row>
    <row r="342" spans="1:4" ht="15">
      <c r="A342"/>
      <c/>
      <c/>
      <c/>
    </row>
    <row r="343" spans="1:4" ht="15">
      <c r="A343"/>
      <c/>
      <c/>
      <c/>
    </row>
    <row r="344" spans="1:4" ht="15">
      <c r="A344"/>
      <c/>
      <c/>
      <c/>
    </row>
    <row r="345" spans="1:4" ht="15">
      <c r="A345"/>
      <c/>
      <c/>
      <c/>
    </row>
    <row r="346" spans="1:4" ht="15">
      <c r="A346"/>
      <c/>
      <c/>
      <c/>
    </row>
    <row r="347" spans="1:4" ht="15">
      <c r="A347"/>
      <c/>
      <c/>
      <c/>
    </row>
    <row r="348" spans="1:4" ht="15">
      <c r="A348"/>
      <c/>
      <c/>
      <c/>
    </row>
    <row r="349" spans="1:4" ht="15">
      <c r="A349"/>
      <c/>
      <c/>
      <c/>
    </row>
    <row r="350" spans="1:4" ht="15">
      <c r="A350"/>
      <c/>
      <c/>
      <c/>
    </row>
    <row r="351" spans="1:4" ht="15">
      <c r="A351"/>
      <c/>
      <c/>
      <c/>
    </row>
    <row r="352" spans="1:4" ht="15">
      <c r="A352"/>
      <c/>
      <c/>
      <c/>
    </row>
    <row r="353" spans="1:4" ht="15">
      <c r="A353"/>
      <c/>
      <c/>
      <c/>
    </row>
    <row r="354" spans="1:4" ht="15">
      <c r="A354"/>
      <c/>
      <c/>
      <c/>
    </row>
    <row r="355" spans="1:4" ht="15">
      <c r="A355"/>
      <c/>
      <c/>
      <c/>
    </row>
    <row r="356" spans="1:4" ht="15">
      <c r="A356"/>
      <c/>
      <c/>
      <c/>
    </row>
    <row r="357" spans="1:4" ht="15">
      <c r="A357"/>
      <c/>
      <c/>
      <c/>
    </row>
    <row r="358" spans="1:4" ht="15">
      <c r="A358"/>
      <c/>
      <c/>
      <c/>
    </row>
    <row r="359" spans="1:4" ht="15">
      <c r="A359"/>
      <c/>
      <c/>
      <c/>
    </row>
    <row r="360" spans="1:4" ht="15">
      <c r="A360"/>
      <c/>
      <c/>
      <c/>
    </row>
    <row r="361" spans="1:4" ht="15">
      <c r="A361"/>
      <c/>
      <c/>
      <c/>
    </row>
    <row r="362" spans="1:4" ht="15">
      <c r="A362"/>
      <c/>
      <c/>
      <c/>
    </row>
    <row r="363" spans="1:4" ht="15">
      <c r="A363"/>
      <c/>
      <c/>
      <c/>
    </row>
    <row r="364" spans="1:4" ht="15">
      <c r="A364"/>
      <c/>
      <c/>
      <c/>
    </row>
    <row r="365" spans="1:4" ht="15">
      <c r="A365"/>
      <c/>
      <c/>
      <c/>
    </row>
    <row r="366" spans="1:4" ht="15">
      <c r="A366"/>
      <c/>
      <c/>
      <c/>
    </row>
    <row r="367" spans="1:4" ht="15">
      <c r="A367"/>
      <c/>
      <c/>
      <c/>
    </row>
    <row r="368" spans="1:4" ht="15">
      <c r="A368"/>
      <c/>
      <c/>
      <c/>
    </row>
    <row r="369" spans="1:4" ht="15">
      <c r="A369"/>
      <c/>
      <c/>
      <c/>
    </row>
    <row r="370" spans="1:4" ht="15">
      <c r="A370"/>
      <c/>
      <c/>
      <c/>
    </row>
    <row r="371" spans="1:4" ht="15">
      <c r="A371"/>
      <c/>
      <c/>
      <c/>
    </row>
    <row r="372" spans="1:4" ht="15">
      <c r="A372"/>
      <c/>
      <c/>
      <c/>
    </row>
    <row r="373" spans="1:4" ht="15">
      <c r="A373"/>
      <c/>
      <c/>
      <c/>
    </row>
    <row r="374" spans="1:4" ht="15">
      <c r="A374"/>
      <c/>
      <c/>
      <c/>
    </row>
    <row r="375" spans="1:4" ht="15">
      <c r="A375"/>
      <c/>
      <c/>
      <c/>
    </row>
    <row r="376" spans="1:4" ht="15">
      <c r="A376"/>
      <c/>
      <c/>
      <c/>
    </row>
    <row r="377" spans="1:4" ht="15">
      <c r="A377"/>
      <c/>
      <c/>
      <c/>
    </row>
    <row r="378" spans="1:4" ht="15">
      <c r="A378"/>
      <c/>
      <c/>
      <c/>
    </row>
    <row r="379" spans="1:4" ht="15">
      <c r="A379"/>
      <c/>
      <c/>
      <c/>
    </row>
    <row r="380" spans="1:4" ht="15">
      <c r="A380"/>
      <c/>
      <c/>
      <c/>
    </row>
    <row r="381" spans="1:4" ht="15">
      <c r="A381"/>
      <c/>
      <c/>
      <c/>
    </row>
    <row r="382" spans="1:4" ht="15">
      <c r="A382"/>
      <c/>
      <c/>
      <c/>
    </row>
    <row r="383" spans="1:4" ht="15">
      <c r="A383"/>
      <c/>
      <c/>
      <c/>
    </row>
    <row r="384" spans="1:4" ht="15">
      <c r="A384"/>
      <c/>
      <c/>
      <c/>
    </row>
    <row r="385" spans="1:4" ht="15">
      <c r="A385"/>
      <c/>
      <c/>
      <c/>
    </row>
    <row r="386" spans="1:4" ht="15">
      <c r="A386"/>
      <c/>
      <c/>
      <c/>
    </row>
    <row r="387" spans="1:4" ht="15">
      <c r="A387"/>
      <c/>
      <c/>
      <c/>
    </row>
    <row r="388" spans="1:4" ht="15">
      <c r="A388"/>
      <c/>
      <c/>
      <c/>
    </row>
    <row r="389" spans="1:4" ht="15">
      <c r="A389"/>
      <c/>
      <c/>
      <c/>
    </row>
    <row r="390" spans="1:4" ht="15">
      <c r="A390"/>
      <c/>
      <c/>
      <c/>
    </row>
    <row r="391" spans="1:4" ht="15">
      <c r="A391"/>
      <c/>
      <c/>
      <c/>
    </row>
    <row r="392" spans="1:4" ht="15">
      <c r="A392"/>
      <c/>
      <c/>
      <c/>
    </row>
    <row r="393" spans="1:4" ht="15">
      <c r="A393"/>
      <c/>
      <c/>
      <c/>
    </row>
    <row r="394" spans="1:4" ht="15">
      <c r="A394"/>
      <c/>
      <c/>
      <c/>
    </row>
    <row r="395" spans="1:4" ht="15">
      <c r="A395"/>
      <c/>
      <c/>
      <c/>
    </row>
    <row r="396" spans="1:4" ht="15">
      <c r="A396"/>
      <c/>
      <c/>
      <c/>
    </row>
    <row r="397" spans="1:4" ht="15">
      <c r="A397"/>
      <c/>
      <c/>
      <c/>
    </row>
    <row r="398" spans="1:4" ht="15">
      <c r="A398"/>
      <c/>
      <c/>
      <c/>
    </row>
    <row r="399" spans="1:4" ht="15">
      <c r="A399"/>
      <c/>
      <c/>
      <c/>
    </row>
    <row r="400" spans="1:4" ht="15">
      <c r="A400"/>
      <c/>
      <c/>
      <c/>
    </row>
    <row r="401" spans="1:4" ht="15">
      <c r="A401"/>
      <c/>
      <c/>
      <c/>
    </row>
    <row r="402" spans="1:4" ht="15">
      <c r="A402"/>
      <c/>
      <c/>
      <c/>
    </row>
    <row r="403" spans="1:4" ht="15">
      <c r="A403"/>
      <c/>
      <c/>
      <c/>
    </row>
    <row r="404" spans="1:4" ht="15">
      <c r="A404"/>
      <c/>
      <c/>
      <c/>
    </row>
    <row r="405" spans="1:4" ht="15">
      <c r="A405"/>
      <c/>
      <c/>
      <c/>
    </row>
    <row r="406" spans="1:4" ht="15">
      <c r="A406"/>
      <c/>
      <c/>
      <c/>
    </row>
    <row r="407" spans="1:4" ht="15">
      <c r="A407"/>
      <c/>
      <c/>
      <c/>
    </row>
    <row r="408" spans="1:4" ht="15">
      <c r="A408"/>
      <c/>
      <c/>
      <c/>
    </row>
    <row r="409" spans="1:4" ht="15">
      <c r="A409"/>
      <c/>
      <c/>
      <c/>
    </row>
    <row r="410" spans="1:4" ht="15">
      <c r="A410"/>
      <c/>
      <c/>
      <c/>
    </row>
    <row r="411" spans="1:4" ht="15">
      <c r="A411"/>
      <c/>
      <c/>
      <c/>
    </row>
    <row r="412" spans="1:4" ht="15">
      <c r="A412"/>
      <c/>
      <c/>
      <c/>
    </row>
    <row r="413" spans="1:4" ht="15">
      <c r="A413"/>
      <c/>
      <c/>
      <c/>
    </row>
    <row r="414" spans="1:30" ht="15">
      <c r="A414"/>
      <c/>
      <c/>
      <c/>
      <c r="V414"/>
      <c/>
      <c/>
      <c/>
      <c/>
      <c/>
      <c/>
      <c/>
      <c/>
    </row>
    <row r="415" spans="1:30" ht="15">
      <c r="A415"/>
      <c/>
      <c/>
      <c/>
      <c r="V415"/>
      <c/>
      <c/>
      <c/>
      <c/>
      <c/>
      <c/>
      <c/>
      <c/>
    </row>
    <row r="416" spans="1:30" ht="15">
      <c r="A416"/>
      <c/>
      <c/>
      <c/>
      <c r="V416"/>
      <c/>
      <c/>
      <c/>
      <c/>
      <c/>
      <c/>
      <c/>
      <c/>
    </row>
    <row r="417" spans="1:30" ht="15">
      <c r="A417"/>
      <c/>
      <c/>
      <c/>
      <c r="V417"/>
      <c/>
      <c/>
      <c/>
      <c/>
      <c/>
      <c/>
      <c/>
      <c/>
    </row>
    <row r="418" spans="1:30" ht="15">
      <c r="A418"/>
      <c/>
      <c/>
      <c/>
      <c r="V418"/>
      <c/>
      <c/>
      <c/>
      <c/>
      <c/>
      <c/>
      <c/>
      <c/>
    </row>
    <row r="419" spans="1:30" ht="15">
      <c r="A419"/>
      <c/>
      <c/>
      <c/>
      <c r="V419"/>
      <c/>
      <c/>
      <c/>
      <c/>
      <c/>
      <c/>
      <c/>
      <c/>
    </row>
    <row r="420" spans="1:30" ht="15">
      <c r="A420"/>
      <c/>
      <c/>
      <c/>
      <c r="V420"/>
      <c/>
      <c/>
      <c/>
      <c/>
      <c/>
      <c/>
      <c/>
      <c/>
    </row>
    <row r="421" spans="1:30" ht="15">
      <c r="A421"/>
      <c/>
      <c/>
      <c/>
      <c r="V421"/>
      <c/>
      <c/>
      <c/>
      <c/>
      <c/>
      <c/>
      <c/>
      <c/>
    </row>
    <row r="422" spans="1:30" ht="15">
      <c r="A422"/>
      <c/>
      <c/>
      <c/>
      <c r="V422"/>
      <c/>
      <c/>
      <c/>
      <c/>
      <c/>
      <c/>
      <c/>
      <c/>
    </row>
    <row r="423" spans="1:30" ht="15">
      <c r="A423"/>
      <c/>
      <c/>
      <c/>
      <c r="V423"/>
      <c/>
      <c/>
      <c/>
      <c/>
      <c/>
      <c/>
      <c/>
      <c/>
    </row>
    <row r="424" spans="1:30" ht="15">
      <c r="A424"/>
      <c/>
      <c/>
      <c/>
      <c r="V424"/>
      <c/>
      <c/>
      <c/>
      <c/>
      <c/>
      <c/>
      <c/>
      <c/>
    </row>
    <row r="425" spans="1:30" ht="15">
      <c r="A425"/>
      <c/>
      <c/>
      <c/>
      <c r="V425"/>
      <c/>
      <c/>
      <c/>
      <c/>
      <c/>
      <c/>
      <c/>
      <c/>
    </row>
    <row r="426" spans="1:30" ht="15">
      <c r="A426"/>
      <c/>
      <c/>
      <c/>
      <c r="V426"/>
      <c/>
      <c/>
      <c/>
      <c/>
      <c/>
      <c/>
      <c/>
      <c/>
    </row>
    <row r="427" spans="1:30" ht="15">
      <c r="A427"/>
      <c/>
      <c/>
      <c/>
      <c r="V427"/>
      <c/>
      <c/>
      <c/>
      <c/>
      <c/>
      <c/>
      <c/>
      <c/>
    </row>
    <row r="428" spans="1:30" ht="15">
      <c r="A428"/>
      <c/>
      <c/>
      <c/>
      <c r="V428"/>
      <c/>
      <c/>
      <c/>
      <c/>
      <c/>
      <c/>
      <c/>
      <c/>
    </row>
    <row r="429" spans="1:30" ht="15">
      <c r="A429"/>
      <c/>
      <c/>
      <c/>
      <c r="V429"/>
      <c/>
      <c/>
      <c/>
      <c/>
      <c/>
      <c/>
      <c/>
      <c/>
    </row>
    <row r="430" spans="1:30" ht="15">
      <c r="A430"/>
      <c/>
      <c/>
      <c/>
      <c r="V430"/>
      <c/>
      <c/>
      <c/>
      <c/>
      <c/>
      <c/>
      <c/>
      <c/>
    </row>
    <row r="431" spans="1:30" ht="15">
      <c r="A431"/>
      <c/>
      <c/>
      <c/>
      <c r="V431"/>
      <c/>
      <c/>
      <c/>
      <c/>
      <c/>
      <c/>
      <c/>
      <c/>
    </row>
    <row r="432" spans="1:30" ht="15">
      <c r="A432"/>
      <c/>
      <c/>
      <c/>
      <c r="V432"/>
      <c/>
      <c/>
      <c/>
      <c/>
      <c/>
      <c/>
      <c/>
      <c/>
    </row>
    <row r="433" spans="1:30" ht="15">
      <c r="A433"/>
      <c/>
      <c/>
      <c/>
      <c r="V433"/>
      <c/>
      <c/>
      <c/>
      <c/>
      <c/>
      <c/>
      <c/>
      <c/>
    </row>
    <row r="434" spans="1:30" ht="15">
      <c r="A434"/>
      <c/>
      <c/>
      <c/>
      <c r="V434"/>
      <c/>
      <c/>
      <c/>
      <c/>
      <c/>
      <c/>
      <c/>
      <c/>
    </row>
    <row r="435" spans="1:30" ht="15">
      <c r="A435"/>
      <c/>
      <c/>
      <c/>
      <c r="V435"/>
      <c/>
      <c/>
      <c/>
      <c/>
      <c/>
      <c/>
      <c/>
      <c/>
    </row>
    <row r="436" spans="1:30" ht="15">
      <c r="A436"/>
      <c/>
      <c/>
      <c/>
      <c r="V436"/>
      <c/>
      <c/>
      <c/>
      <c/>
      <c/>
      <c/>
      <c/>
      <c/>
    </row>
    <row r="437" spans="1:30" ht="15">
      <c r="A437"/>
      <c/>
      <c/>
      <c/>
      <c r="V437"/>
      <c/>
      <c/>
      <c/>
      <c/>
      <c/>
      <c/>
      <c/>
      <c/>
    </row>
    <row r="438" spans="1:30" ht="15">
      <c r="A438"/>
      <c/>
      <c/>
      <c/>
      <c r="V438"/>
      <c/>
      <c/>
      <c/>
      <c/>
      <c/>
      <c/>
      <c/>
      <c/>
    </row>
    <row r="439" spans="1:30" ht="15">
      <c r="A439"/>
      <c/>
      <c/>
      <c/>
      <c r="V439"/>
      <c/>
      <c/>
      <c/>
      <c/>
      <c/>
      <c/>
      <c/>
      <c/>
    </row>
    <row r="440" spans="1:30" ht="15">
      <c r="A440"/>
      <c/>
      <c/>
      <c/>
      <c r="V440"/>
      <c/>
      <c/>
      <c/>
      <c/>
      <c/>
      <c/>
      <c/>
      <c/>
    </row>
    <row r="441" spans="1:4" ht="15">
      <c r="A441"/>
      <c/>
      <c/>
      <c/>
    </row>
    <row r="442" spans="1:4" ht="15">
      <c r="A442"/>
      <c/>
      <c/>
      <c/>
    </row>
    <row r="443" spans="1:4" ht="15">
      <c r="A443"/>
      <c/>
      <c/>
      <c/>
    </row>
    <row r="444" spans="1:4" ht="15">
      <c r="A444"/>
      <c/>
      <c/>
      <c/>
    </row>
    <row r="445" spans="1:4" ht="15">
      <c r="A445"/>
      <c/>
      <c/>
      <c/>
    </row>
    <row r="446" spans="1:4" ht="15">
      <c r="A446"/>
      <c/>
      <c/>
      <c/>
    </row>
    <row r="447" spans="1:4" ht="15">
      <c r="A447"/>
      <c/>
      <c/>
      <c/>
    </row>
    <row r="448" spans="1:4" ht="15">
      <c r="A448"/>
      <c/>
      <c/>
      <c/>
    </row>
    <row r="449" spans="1:4" ht="15">
      <c r="A449"/>
      <c/>
      <c/>
      <c/>
    </row>
    <row r="450" spans="1:4" ht="15">
      <c r="A450"/>
      <c/>
      <c/>
      <c/>
    </row>
    <row r="451" spans="1:4" ht="15">
      <c r="A451"/>
      <c/>
      <c/>
      <c/>
    </row>
    <row r="452" spans="1:4" ht="15">
      <c r="A452"/>
      <c/>
      <c/>
      <c/>
    </row>
    <row r="453" spans="1:4" ht="15">
      <c r="A453"/>
      <c/>
      <c/>
      <c/>
    </row>
    <row r="454" spans="1:4" ht="15">
      <c r="A454"/>
      <c/>
      <c/>
      <c/>
    </row>
    <row r="455" spans="1:4" ht="15">
      <c r="A455"/>
      <c/>
      <c/>
      <c/>
    </row>
    <row r="456" spans="1:4" ht="15">
      <c r="A456"/>
      <c/>
      <c/>
      <c/>
    </row>
    <row r="457" spans="1:4" ht="15">
      <c r="A457"/>
      <c/>
      <c/>
      <c/>
    </row>
    <row r="458" spans="1:4" ht="15">
      <c r="A458"/>
      <c/>
      <c/>
      <c/>
    </row>
    <row r="459" spans="1:4" ht="15">
      <c r="A459"/>
      <c/>
      <c/>
      <c/>
    </row>
    <row r="460" spans="1:4" ht="15">
      <c r="A460"/>
      <c/>
      <c/>
      <c/>
    </row>
    <row r="461" spans="1:4" ht="15">
      <c r="A461"/>
      <c/>
      <c/>
      <c/>
    </row>
    <row r="462" spans="1:4" ht="15">
      <c r="A462"/>
      <c/>
      <c/>
      <c/>
    </row>
    <row r="463" spans="1:4" ht="15">
      <c r="A463"/>
      <c/>
      <c/>
      <c/>
    </row>
    <row r="464" spans="1:4" ht="15">
      <c r="A464"/>
      <c/>
      <c/>
      <c/>
    </row>
    <row r="465" spans="1:4" ht="15">
      <c r="A465"/>
      <c/>
      <c/>
      <c/>
    </row>
    <row r="466" spans="1:4" ht="15">
      <c r="A466"/>
      <c/>
      <c/>
      <c/>
    </row>
    <row r="467" spans="1:4" ht="15">
      <c r="A467"/>
      <c/>
      <c/>
      <c/>
    </row>
    <row r="468" spans="1:4" ht="15">
      <c r="A468"/>
      <c/>
      <c/>
      <c/>
    </row>
    <row r="469" spans="1:4" ht="15">
      <c r="A469"/>
      <c/>
      <c/>
      <c/>
    </row>
    <row r="470" spans="1:4" ht="15">
      <c r="A470"/>
      <c/>
      <c/>
      <c/>
    </row>
    <row r="471" spans="1:4" ht="15">
      <c r="A471"/>
      <c/>
      <c/>
      <c/>
    </row>
    <row r="472" spans="1:4" ht="15">
      <c r="A472"/>
      <c/>
      <c/>
      <c/>
    </row>
    <row r="473" spans="1:4" ht="15">
      <c r="A473"/>
      <c/>
      <c/>
      <c/>
    </row>
    <row r="474" spans="1:4" ht="15">
      <c r="A474"/>
      <c/>
      <c/>
      <c/>
    </row>
    <row r="475" spans="1:4" ht="15">
      <c r="A475"/>
      <c/>
      <c/>
      <c/>
    </row>
    <row r="476" spans="1:4" ht="15">
      <c r="A476"/>
      <c/>
      <c/>
      <c/>
    </row>
    <row r="477" spans="1:4" ht="15">
      <c r="A477"/>
      <c/>
      <c/>
      <c/>
    </row>
    <row r="478" spans="1:4" ht="15">
      <c r="A478"/>
      <c/>
      <c/>
      <c/>
    </row>
    <row r="479" spans="1:4" ht="15">
      <c r="A479"/>
      <c/>
      <c/>
      <c/>
    </row>
    <row r="480" spans="1:4" ht="15">
      <c r="A480"/>
      <c/>
      <c/>
      <c/>
    </row>
    <row r="481" spans="1:4" ht="15">
      <c r="A481"/>
      <c/>
      <c/>
      <c/>
    </row>
    <row r="482" spans="1:4" ht="15">
      <c r="A482"/>
      <c/>
      <c/>
      <c/>
    </row>
    <row r="483" spans="1:4" ht="15">
      <c r="A483"/>
      <c/>
      <c/>
      <c/>
    </row>
    <row r="484" spans="1:4" ht="15">
      <c r="A484"/>
      <c/>
      <c/>
      <c/>
    </row>
    <row r="485" spans="1:4" ht="15">
      <c r="A485"/>
      <c/>
      <c/>
      <c/>
    </row>
    <row r="486" spans="1:4" ht="15">
      <c r="A486"/>
      <c/>
      <c/>
      <c/>
    </row>
    <row r="487" spans="1:4" ht="15">
      <c r="A487"/>
      <c/>
      <c/>
      <c/>
    </row>
    <row r="488" spans="1:4" ht="15">
      <c r="A488"/>
      <c/>
      <c/>
      <c/>
    </row>
    <row r="489" spans="1:4" ht="15">
      <c r="A489"/>
      <c/>
      <c/>
      <c/>
    </row>
    <row r="490" spans="1:4" ht="15">
      <c r="A490"/>
      <c/>
      <c/>
      <c/>
    </row>
    <row r="491" spans="1:4" ht="15">
      <c r="A491"/>
      <c/>
      <c/>
      <c/>
    </row>
    <row r="492" spans="1:4" ht="15">
      <c r="A492"/>
      <c/>
      <c/>
      <c/>
    </row>
    <row r="493" spans="1:4" ht="15">
      <c r="A493"/>
      <c/>
      <c/>
      <c/>
    </row>
    <row r="494" spans="1:4" ht="15">
      <c r="A494"/>
      <c/>
      <c/>
      <c/>
    </row>
    <row r="495" spans="1:4" ht="15">
      <c r="A495"/>
      <c/>
      <c/>
      <c/>
    </row>
    <row r="496" spans="1:4" ht="15">
      <c r="A496"/>
      <c/>
      <c/>
      <c/>
    </row>
    <row r="497" spans="1:4" ht="15">
      <c r="A497"/>
      <c/>
      <c/>
      <c/>
    </row>
    <row r="498" spans="1:4" ht="15">
      <c r="A498"/>
      <c/>
      <c/>
      <c/>
    </row>
    <row r="499" spans="1:4" ht="15">
      <c r="A499"/>
      <c/>
      <c/>
      <c/>
    </row>
    <row r="500" spans="1:4" ht="15">
      <c r="A500"/>
      <c/>
      <c/>
      <c/>
    </row>
    <row r="501" spans="1:4" ht="15">
      <c r="A501"/>
      <c/>
      <c/>
      <c/>
    </row>
    <row r="502" spans="1:4" ht="15">
      <c r="A502"/>
      <c/>
      <c/>
      <c/>
    </row>
    <row r="503" spans="1:4" ht="15">
      <c r="A503"/>
      <c/>
      <c/>
      <c/>
    </row>
    <row r="504" spans="1:4" ht="15">
      <c r="A504"/>
      <c/>
      <c/>
      <c/>
    </row>
    <row r="505" spans="1:4" ht="15">
      <c r="A505"/>
      <c/>
      <c/>
      <c/>
    </row>
    <row r="506" spans="1:4" ht="15">
      <c r="A506"/>
      <c/>
      <c/>
      <c/>
    </row>
    <row r="507" spans="1:4" ht="15">
      <c r="A507"/>
      <c/>
      <c/>
      <c/>
    </row>
    <row r="508" spans="1:4" ht="15">
      <c r="A508"/>
      <c/>
      <c/>
      <c/>
    </row>
    <row r="509" spans="1:4" ht="15">
      <c r="A509"/>
      <c/>
      <c/>
      <c/>
    </row>
    <row r="510" spans="1:4" ht="15">
      <c r="A510"/>
      <c/>
      <c/>
      <c/>
    </row>
    <row r="511" spans="1:4" ht="15">
      <c r="A511"/>
      <c/>
      <c/>
      <c/>
    </row>
    <row r="512" spans="1:4" ht="15">
      <c r="A512"/>
      <c/>
      <c/>
      <c/>
    </row>
    <row r="513" spans="1:4" ht="15">
      <c r="A513"/>
      <c/>
      <c/>
      <c/>
    </row>
    <row r="514" spans="1:4" ht="15">
      <c r="A514"/>
      <c/>
      <c/>
      <c/>
    </row>
    <row r="515" spans="1:4" ht="15">
      <c r="A515"/>
      <c/>
      <c/>
      <c/>
    </row>
    <row r="516" spans="1:4" ht="15">
      <c r="A516"/>
      <c/>
      <c/>
      <c/>
    </row>
    <row r="517" spans="1:4" ht="15">
      <c r="A517"/>
      <c/>
      <c/>
      <c/>
    </row>
    <row r="518" spans="1:4" ht="15">
      <c r="A518"/>
      <c/>
      <c/>
      <c/>
    </row>
    <row r="519" spans="1:4" ht="15">
      <c r="A519"/>
      <c/>
      <c/>
      <c/>
    </row>
    <row r="520" spans="1:4" ht="15">
      <c r="A520"/>
      <c/>
      <c/>
      <c/>
    </row>
    <row r="521" spans="1:4" ht="15">
      <c r="A521"/>
      <c/>
      <c/>
      <c/>
    </row>
    <row r="522" spans="1:4" ht="15">
      <c r="A522"/>
      <c/>
      <c/>
      <c/>
    </row>
    <row r="523" spans="1:4" ht="15">
      <c r="A523"/>
      <c/>
      <c/>
      <c/>
    </row>
    <row r="524" spans="1:4" ht="15">
      <c r="A524"/>
      <c/>
      <c/>
      <c/>
    </row>
    <row r="525" spans="1:4" ht="15">
      <c r="A525"/>
      <c/>
      <c/>
      <c/>
    </row>
    <row r="526" spans="1:4" ht="15">
      <c r="A526"/>
      <c/>
      <c/>
      <c/>
    </row>
    <row r="527" spans="1:4" ht="15">
      <c r="A527"/>
      <c/>
      <c/>
      <c/>
    </row>
    <row r="528" spans="1:4" ht="15">
      <c r="A528"/>
      <c/>
      <c/>
      <c/>
    </row>
    <row r="529" spans="1:4" ht="15">
      <c r="A529"/>
      <c/>
      <c/>
      <c/>
    </row>
    <row r="530" spans="1:4" ht="15">
      <c r="A530"/>
      <c/>
      <c/>
      <c/>
    </row>
    <row r="531" spans="1:4" ht="15">
      <c r="A531"/>
      <c/>
      <c/>
      <c/>
    </row>
    <row r="532" spans="1:4" ht="15">
      <c r="A532"/>
      <c/>
      <c/>
      <c/>
    </row>
    <row r="533" spans="1:4" ht="15">
      <c r="A533"/>
      <c/>
      <c/>
      <c/>
    </row>
    <row r="534" spans="1:4" ht="15">
      <c r="A534"/>
      <c/>
      <c/>
      <c/>
    </row>
    <row r="535" spans="1:4" ht="15">
      <c r="A535"/>
      <c/>
      <c/>
      <c/>
    </row>
    <row r="536" spans="1:4" ht="15">
      <c r="A536"/>
      <c/>
      <c/>
      <c/>
    </row>
    <row r="537" spans="1:4" ht="15">
      <c r="A537"/>
      <c/>
      <c/>
      <c/>
    </row>
    <row r="538" spans="1:4" ht="15">
      <c r="A538"/>
      <c/>
      <c/>
      <c/>
    </row>
    <row r="539" spans="1:4" ht="15">
      <c r="A539"/>
      <c/>
      <c/>
      <c/>
    </row>
    <row r="540" spans="1:4" ht="15">
      <c r="A540"/>
      <c/>
      <c/>
      <c/>
    </row>
    <row r="541" spans="1:4" ht="15">
      <c r="A541"/>
      <c/>
      <c/>
      <c/>
    </row>
    <row r="542" spans="1:4" ht="15">
      <c r="A542"/>
      <c/>
      <c/>
      <c/>
    </row>
    <row r="543" spans="1:4" ht="15">
      <c r="A543"/>
      <c/>
      <c/>
      <c/>
    </row>
    <row r="544" spans="1:4" ht="15">
      <c r="A544"/>
      <c/>
      <c/>
      <c/>
    </row>
    <row r="545" spans="1:4" ht="15">
      <c r="A545"/>
      <c/>
      <c/>
      <c/>
    </row>
    <row r="546" spans="1:4" ht="15">
      <c r="A546"/>
      <c/>
      <c/>
      <c/>
    </row>
    <row r="547" spans="1:4" ht="15">
      <c r="A547"/>
      <c/>
      <c/>
      <c/>
    </row>
    <row r="548" spans="1:4" ht="15">
      <c r="A548"/>
      <c/>
      <c/>
      <c/>
    </row>
    <row r="549" spans="1:4" ht="15">
      <c r="A549"/>
      <c/>
      <c/>
      <c/>
    </row>
    <row r="550" spans="1:4" ht="15">
      <c r="A550"/>
      <c/>
      <c/>
      <c/>
    </row>
    <row r="551" spans="1:4" ht="15">
      <c r="A551"/>
      <c/>
      <c/>
      <c/>
    </row>
    <row r="552" spans="1:4" ht="15">
      <c r="A552"/>
      <c/>
      <c/>
      <c/>
    </row>
    <row r="553" spans="1:24" ht="15">
      <c r="A553"/>
      <c/>
      <c/>
      <c/>
      <c r="V553"/>
      <c/>
      <c/>
    </row>
    <row r="554" spans="1:24" ht="15">
      <c r="A554"/>
      <c/>
      <c/>
      <c/>
      <c r="V554"/>
      <c/>
      <c/>
    </row>
    <row r="555" spans="1:24" ht="15">
      <c r="A555"/>
      <c/>
      <c/>
      <c/>
      <c r="V555"/>
      <c/>
      <c/>
    </row>
    <row r="556" spans="1:24" ht="15">
      <c r="A556"/>
      <c/>
      <c/>
      <c/>
      <c r="V556"/>
      <c/>
      <c/>
    </row>
    <row r="557" spans="1:24" ht="15">
      <c r="A557"/>
      <c/>
      <c/>
      <c/>
      <c r="V557"/>
      <c/>
      <c/>
    </row>
    <row r="558" spans="1:24" ht="15">
      <c r="A558"/>
      <c/>
      <c/>
      <c/>
      <c r="V558"/>
      <c/>
      <c/>
    </row>
    <row r="559" spans="1:24" ht="15">
      <c r="A559"/>
      <c/>
      <c/>
      <c/>
      <c r="V559"/>
      <c/>
      <c/>
    </row>
    <row r="560" spans="1:24" ht="15">
      <c r="A560"/>
      <c/>
      <c/>
      <c/>
      <c r="V560"/>
      <c/>
      <c/>
    </row>
    <row r="561" spans="1:24" ht="15">
      <c r="A561"/>
      <c/>
      <c/>
      <c/>
      <c r="V561"/>
      <c/>
      <c/>
    </row>
    <row r="562" spans="1:24" ht="15">
      <c r="A562"/>
      <c/>
      <c/>
      <c/>
      <c r="V562"/>
      <c/>
      <c/>
    </row>
    <row r="563" spans="1:4" ht="15">
      <c r="A563"/>
      <c/>
      <c/>
      <c/>
    </row>
    <row r="564" spans="1:4" ht="15">
      <c r="A564"/>
      <c/>
      <c/>
      <c/>
    </row>
    <row r="565" spans="1:4" ht="15">
      <c r="A565"/>
      <c/>
      <c/>
      <c/>
    </row>
    <row r="566" spans="1:4" ht="15">
      <c r="A566"/>
      <c/>
      <c/>
      <c/>
    </row>
    <row r="567" spans="1:4" ht="15">
      <c r="A567"/>
      <c/>
      <c/>
      <c/>
    </row>
    <row r="568" spans="1:4" ht="15">
      <c r="A568"/>
      <c/>
      <c/>
      <c/>
    </row>
    <row r="569" spans="1:4" ht="15">
      <c r="A569"/>
      <c/>
      <c/>
      <c/>
    </row>
    <row r="570" spans="1:4" ht="15">
      <c r="A570"/>
      <c/>
      <c/>
      <c/>
    </row>
    <row r="571" spans="1:4" ht="15">
      <c r="A571"/>
      <c/>
      <c/>
      <c/>
    </row>
    <row r="572" spans="1:4" ht="15">
      <c r="A572"/>
      <c/>
      <c/>
      <c/>
    </row>
    <row r="573" spans="1:4" ht="15">
      <c r="A573"/>
      <c/>
      <c/>
      <c/>
    </row>
    <row r="574" spans="1:4" ht="15">
      <c r="A574"/>
      <c/>
      <c/>
      <c/>
    </row>
    <row r="575" spans="1:4" ht="15">
      <c r="A575"/>
      <c/>
      <c/>
      <c/>
    </row>
    <row r="576" spans="1:4" ht="15">
      <c r="A576"/>
      <c/>
      <c/>
      <c/>
    </row>
    <row r="577" spans="1:4" ht="15">
      <c r="A577"/>
      <c/>
      <c/>
      <c/>
    </row>
    <row r="578" spans="1:4" ht="15">
      <c r="A578"/>
      <c/>
      <c/>
      <c/>
    </row>
    <row r="579" spans="1:4" ht="15">
      <c r="A579"/>
      <c/>
      <c/>
      <c/>
    </row>
    <row r="580" spans="1:4" ht="15">
      <c r="A580"/>
      <c/>
      <c/>
      <c/>
    </row>
    <row r="581" spans="1:4" ht="15">
      <c r="A581"/>
      <c/>
      <c/>
      <c/>
    </row>
    <row r="582" spans="1:4" ht="15">
      <c r="A582"/>
      <c/>
      <c/>
      <c/>
    </row>
    <row r="583" spans="1:4" ht="15">
      <c r="A583"/>
      <c/>
      <c/>
      <c/>
    </row>
    <row r="584" spans="1:4" ht="15">
      <c r="A584"/>
      <c/>
      <c/>
      <c/>
    </row>
    <row r="585" spans="1:4" ht="15">
      <c r="A585"/>
      <c/>
      <c/>
      <c/>
    </row>
    <row r="586" spans="1:4" ht="15">
      <c r="A586"/>
      <c/>
      <c/>
      <c/>
    </row>
    <row r="587" spans="1:4" ht="15">
      <c r="A587"/>
      <c/>
      <c/>
      <c/>
    </row>
    <row r="588" spans="1:4" ht="15">
      <c r="A588"/>
      <c/>
      <c/>
      <c/>
    </row>
    <row r="589" spans="1:4" ht="15">
      <c r="A589"/>
      <c/>
      <c/>
      <c/>
    </row>
    <row r="590" spans="1:4" ht="15">
      <c r="A590"/>
      <c/>
      <c/>
      <c/>
    </row>
    <row r="591" spans="1:4" ht="15">
      <c r="A591"/>
      <c/>
      <c/>
      <c/>
    </row>
    <row r="592" spans="1:4" ht="15">
      <c r="A592"/>
      <c/>
      <c/>
      <c/>
    </row>
    <row r="593" spans="1:4" ht="15">
      <c r="A593"/>
      <c/>
      <c/>
      <c/>
    </row>
    <row r="594" spans="1:4" ht="15">
      <c r="A594"/>
      <c/>
      <c/>
      <c/>
    </row>
    <row r="595" spans="1:4" ht="15">
      <c r="A595"/>
      <c/>
      <c/>
      <c/>
    </row>
    <row r="596" spans="1:4" ht="15">
      <c r="A596"/>
      <c/>
      <c/>
      <c/>
    </row>
    <row r="597" spans="1:4" ht="15">
      <c r="A597"/>
      <c/>
      <c/>
      <c/>
    </row>
    <row r="598" spans="1:4" ht="15">
      <c r="A598"/>
      <c/>
      <c/>
      <c/>
    </row>
    <row r="599" spans="1:4" ht="15">
      <c r="A599"/>
      <c/>
      <c/>
      <c/>
    </row>
    <row r="600" spans="1:4" ht="15">
      <c r="A600"/>
      <c/>
      <c/>
      <c/>
    </row>
    <row r="601" spans="1:4" ht="15">
      <c r="A601"/>
      <c/>
      <c/>
      <c/>
    </row>
    <row r="602" spans="1:4" ht="15">
      <c r="A602"/>
      <c/>
      <c/>
      <c/>
    </row>
    <row r="603" spans="1:4" ht="15">
      <c r="A603"/>
      <c/>
      <c/>
      <c/>
    </row>
    <row r="604" spans="1:4" ht="15">
      <c r="A604"/>
      <c/>
      <c/>
      <c/>
    </row>
    <row r="605" spans="1:4" ht="15">
      <c r="A605"/>
      <c/>
      <c/>
      <c/>
    </row>
    <row r="606" spans="1:4" ht="15">
      <c r="A606"/>
      <c/>
      <c/>
      <c/>
    </row>
    <row r="607" spans="1:4" ht="15">
      <c r="A607"/>
      <c/>
      <c/>
      <c/>
    </row>
    <row r="608" spans="1:4" ht="15">
      <c r="A608"/>
      <c/>
      <c/>
      <c/>
    </row>
    <row r="609" spans="1:4" ht="15">
      <c r="A609"/>
      <c/>
      <c/>
      <c/>
    </row>
    <row r="610" spans="1:4" ht="15">
      <c r="A610"/>
      <c/>
      <c/>
      <c/>
    </row>
    <row r="611" spans="1:4" ht="15">
      <c r="A611"/>
      <c/>
      <c/>
      <c/>
    </row>
    <row r="612" spans="1:4" ht="15">
      <c r="A612"/>
      <c/>
      <c/>
      <c/>
    </row>
    <row r="613" spans="1:4" ht="15">
      <c r="A613"/>
      <c/>
      <c/>
      <c/>
    </row>
    <row r="614" spans="1:4" ht="15">
      <c r="A614"/>
      <c/>
      <c/>
      <c/>
    </row>
    <row r="615" spans="1:4" ht="15">
      <c r="A615"/>
      <c/>
      <c/>
      <c/>
    </row>
    <row r="616" spans="1:4" ht="15">
      <c r="A616"/>
      <c/>
      <c/>
      <c/>
    </row>
    <row r="617" spans="1:4" ht="15">
      <c r="A617"/>
      <c/>
      <c/>
      <c/>
    </row>
    <row r="618" spans="1:4" ht="15">
      <c r="A618"/>
      <c/>
      <c/>
      <c/>
    </row>
    <row r="619" spans="1:4" ht="15">
      <c r="A619"/>
      <c/>
      <c/>
      <c/>
    </row>
    <row r="620" spans="1:4" ht="15">
      <c r="A620"/>
      <c/>
      <c/>
      <c/>
    </row>
    <row r="621" spans="1:4" ht="15">
      <c r="A621"/>
      <c/>
      <c/>
      <c/>
    </row>
    <row r="622" spans="1:4" ht="15">
      <c r="A622"/>
      <c/>
      <c/>
      <c/>
    </row>
    <row r="623" spans="1:4" ht="15">
      <c r="A623"/>
      <c/>
      <c/>
      <c/>
    </row>
    <row r="624" spans="1:4" ht="15">
      <c r="A624"/>
      <c/>
      <c/>
      <c/>
    </row>
    <row r="625" spans="1:4" ht="15">
      <c r="A625"/>
      <c/>
      <c/>
      <c/>
    </row>
    <row r="626" spans="1:4" ht="15">
      <c r="A626"/>
      <c/>
      <c/>
      <c/>
    </row>
    <row r="627" spans="1:4" ht="15">
      <c r="A627"/>
      <c/>
      <c/>
      <c/>
    </row>
    <row r="628" spans="1:4" ht="15">
      <c r="A628"/>
      <c/>
      <c/>
      <c/>
    </row>
    <row r="629" spans="1:4" ht="15">
      <c r="A629"/>
      <c/>
      <c/>
      <c/>
    </row>
    <row r="630" spans="1:4" ht="15">
      <c r="A630"/>
      <c/>
      <c/>
      <c/>
    </row>
    <row r="631" spans="1:4" ht="15">
      <c r="A631"/>
      <c/>
      <c/>
      <c/>
    </row>
    <row r="632" spans="1:4" ht="15">
      <c r="A632"/>
      <c/>
      <c/>
      <c/>
    </row>
    <row r="633" spans="1:4" ht="15">
      <c r="A633"/>
      <c/>
      <c/>
      <c/>
    </row>
    <row r="634" spans="1:4" ht="15">
      <c r="A634"/>
      <c/>
      <c/>
      <c/>
    </row>
    <row r="635" spans="1:4" ht="15">
      <c r="A635"/>
      <c/>
      <c/>
      <c/>
    </row>
    <row r="636" spans="1:4" ht="15">
      <c r="A636"/>
      <c/>
      <c/>
      <c/>
    </row>
    <row r="637" spans="1:4" ht="15">
      <c r="A637"/>
      <c/>
      <c/>
      <c/>
    </row>
    <row r="638" spans="1:4" ht="15">
      <c r="A638"/>
      <c/>
      <c/>
      <c/>
    </row>
    <row r="639" spans="1:4" ht="15">
      <c r="A639"/>
      <c/>
      <c/>
      <c/>
    </row>
    <row r="640" spans="1:4" ht="15">
      <c r="A640"/>
      <c/>
      <c/>
      <c/>
    </row>
    <row r="641" spans="1:4" ht="15">
      <c r="A641"/>
      <c/>
      <c/>
      <c/>
    </row>
    <row r="642" spans="1:4" ht="15">
      <c r="A642"/>
      <c/>
      <c/>
      <c/>
    </row>
    <row r="643" spans="1:4" ht="15">
      <c r="A643"/>
      <c/>
      <c/>
      <c/>
    </row>
    <row r="644" spans="1:4" ht="15">
      <c r="A644"/>
      <c/>
      <c/>
      <c/>
    </row>
    <row r="645" spans="1:4" s="112" customFormat="1" ht="15">
      <c r="A645"/>
      <c/>
      <c/>
      <c/>
    </row>
    <row r="646" spans="1:4" s="112" customFormat="1" ht="15">
      <c r="A646"/>
      <c/>
      <c/>
      <c/>
    </row>
    <row r="647" spans="1:4" s="112" customFormat="1" ht="15">
      <c r="A647"/>
      <c/>
      <c/>
      <c/>
    </row>
    <row r="648" spans="1:4" s="112" customFormat="1" ht="15">
      <c r="A648"/>
      <c/>
      <c/>
      <c/>
    </row>
    <row r="649" spans="1:4" s="112" customFormat="1" ht="15">
      <c r="A649"/>
      <c/>
      <c/>
      <c/>
    </row>
    <row r="650" spans="1:4" s="112" customFormat="1" ht="15">
      <c r="A650"/>
      <c/>
      <c/>
      <c/>
    </row>
    <row r="651" spans="1:4" ht="15">
      <c r="A651"/>
      <c/>
      <c/>
      <c/>
    </row>
    <row r="652" spans="1:4" ht="15">
      <c r="A652"/>
      <c/>
      <c/>
      <c/>
    </row>
    <row r="653" spans="1:4" ht="15">
      <c r="A653"/>
      <c/>
      <c/>
      <c/>
    </row>
    <row r="654" spans="1:4" ht="15">
      <c r="A654"/>
      <c/>
      <c/>
      <c/>
    </row>
    <row r="655" spans="1:4" ht="15">
      <c r="A655"/>
      <c/>
      <c/>
      <c/>
    </row>
    <row r="656" spans="1:4" ht="15">
      <c r="A656"/>
      <c/>
      <c/>
      <c/>
    </row>
    <row r="657" spans="1:4" ht="15">
      <c r="A657"/>
      <c/>
      <c/>
      <c/>
    </row>
    <row r="658" spans="1:4" ht="15">
      <c r="A658"/>
      <c/>
      <c/>
      <c/>
    </row>
    <row r="659" spans="1:4" ht="15">
      <c r="A659"/>
      <c/>
      <c/>
      <c/>
    </row>
    <row r="660" spans="1:4" ht="15">
      <c r="A660"/>
      <c/>
      <c/>
      <c/>
    </row>
    <row r="661" spans="1:4" ht="15">
      <c r="A661"/>
      <c/>
      <c/>
      <c/>
    </row>
    <row r="662" spans="1:4" ht="15">
      <c r="A662"/>
      <c/>
      <c/>
      <c/>
    </row>
    <row r="663" spans="1:4" ht="15">
      <c r="A663"/>
      <c/>
      <c/>
      <c/>
    </row>
    <row r="664" spans="1:4" ht="15">
      <c r="A664"/>
      <c/>
      <c/>
      <c/>
    </row>
    <row r="665" spans="1:4" ht="15">
      <c r="A665"/>
      <c/>
      <c/>
      <c/>
    </row>
    <row r="666" spans="1:4" ht="15">
      <c r="A666"/>
      <c/>
      <c/>
      <c/>
    </row>
    <row r="667" spans="1:4" ht="15">
      <c r="A667"/>
      <c/>
      <c/>
      <c/>
    </row>
    <row r="668" spans="1:4" ht="15">
      <c r="A668"/>
      <c/>
      <c/>
      <c/>
    </row>
    <row r="669" spans="1:4" ht="15">
      <c r="A669"/>
      <c/>
      <c/>
      <c/>
    </row>
    <row r="670" spans="1:4" ht="15">
      <c r="A670"/>
      <c/>
      <c/>
      <c/>
    </row>
    <row r="671" spans="1:4" ht="15">
      <c r="A671"/>
      <c/>
      <c/>
      <c/>
    </row>
    <row r="672" spans="1:4" ht="15">
      <c r="A672"/>
      <c/>
      <c/>
      <c/>
    </row>
    <row r="673" spans="1:4" ht="15">
      <c r="A673"/>
      <c/>
      <c/>
      <c/>
    </row>
    <row r="674" spans="1:4" ht="15">
      <c r="A674"/>
      <c/>
      <c/>
      <c/>
    </row>
    <row r="675" spans="1:4" ht="15">
      <c r="A675"/>
      <c/>
      <c/>
      <c/>
    </row>
    <row r="676" spans="1:4" ht="15">
      <c r="A676"/>
      <c/>
      <c/>
      <c/>
    </row>
    <row r="677" spans="1:4" ht="15">
      <c r="A677"/>
      <c/>
      <c/>
      <c/>
    </row>
    <row r="678" spans="1:4" ht="15">
      <c r="A678"/>
      <c/>
      <c/>
      <c/>
    </row>
    <row r="679" spans="1:4" ht="15">
      <c r="A679"/>
      <c/>
      <c/>
      <c/>
    </row>
    <row r="680" spans="1:4" ht="15">
      <c r="A680"/>
      <c/>
      <c/>
      <c/>
    </row>
    <row r="681" spans="1:4" ht="15">
      <c r="A681"/>
      <c/>
      <c/>
      <c/>
    </row>
    <row r="682" spans="1:4" ht="15">
      <c r="A682"/>
      <c/>
      <c/>
      <c/>
    </row>
    <row r="683" spans="1:4" ht="15">
      <c r="A683"/>
      <c/>
      <c/>
      <c/>
    </row>
    <row r="684" spans="1:4" ht="15">
      <c r="A684"/>
      <c/>
      <c/>
      <c/>
    </row>
    <row r="685" spans="1:4" ht="15">
      <c r="A685"/>
      <c/>
      <c/>
      <c/>
    </row>
    <row r="686" spans="1:4" ht="15">
      <c r="A686"/>
      <c/>
      <c/>
      <c/>
    </row>
    <row r="687" spans="1:4" ht="15">
      <c r="A687"/>
      <c/>
      <c/>
      <c/>
    </row>
    <row r="688" spans="1:4" ht="15">
      <c r="A688"/>
      <c/>
      <c/>
      <c/>
    </row>
  </sheetData>
  <mergeCells count="102">
    <mergeCell ref="EC101:EH101"/>
    <mergeCell ref="J15:O15"/>
    <mergeCell ref="J16:O16"/>
    <mergeCell ref="V15:AA15"/>
    <mergeCell ref="V16:AA16"/>
    <mergeCell ref="J19:O19"/>
    <mergeCell ref="Z19:AG21"/>
    <mergeCell ref="R19:W19"/>
    <mergeCell ref="C57:AI57"/>
    <mergeCell ref="E42:F44"/>
    <mergeCell ref="I42:J44"/>
    <mergeCell ref="M36:N38"/>
    <mergeCell ref="M39:N41"/>
    <mergeCell ref="U51:V53"/>
    <mergeCell ref="M45:N47"/>
    <mergeCell ref="U45:V47"/>
    <mergeCell ref="Q36:R38"/>
    <mergeCell ref="U48:V50"/>
    <mergeCell ref="Y51:Z53"/>
    <mergeCell ref="AC51:AD53"/>
    <mergeCell ref="AG36:AH38"/>
    <mergeCell ref="AG39:AH41"/>
    <mergeCell ref="AC48:AD50"/>
    <mergeCell ref="Y39:Z41"/>
    <mergeCell ref="Y42:Z44"/>
    <mergeCell ref="Y45:Z47"/>
    <mergeCell ref="Y48:Z50"/>
    <mergeCell ref="AG42:AH44"/>
    <mergeCell ref="AG45:AH47"/>
    <mergeCell ref="AG48:AH50"/>
    <mergeCell ref="AG51:AH53"/>
    <mergeCell ref="AC42:AD44"/>
    <mergeCell ref="AC45:AD47"/>
    <mergeCell ref="E51:F53"/>
    <mergeCell ref="I51:J53"/>
    <mergeCell ref="M51:N53"/>
    <mergeCell ref="Q51:R53"/>
    <mergeCell ref="M42:N44"/>
    <mergeCell ref="E45:F47"/>
    <mergeCell ref="E48:F50"/>
    <mergeCell ref="I45:J47"/>
    <mergeCell ref="I48:J50"/>
    <mergeCell ref="Q45:R47"/>
    <mergeCell ref="M48:N50"/>
    <mergeCell ref="Q48:R50"/>
    <mergeCell ref="E39:F41"/>
    <mergeCell ref="E36:F38"/>
    <mergeCell ref="P34:R34"/>
    <mergeCell ref="AC36:AD38"/>
    <mergeCell ref="U36:V38"/>
    <mergeCell ref="I36:J38"/>
    <mergeCell ref="Q39:R41"/>
    <mergeCell ref="Y36:Z38"/>
    <mergeCell ref="I39:J41"/>
    <mergeCell ref="U39:V41"/>
    <mergeCell ref="AC39:AD41"/>
    <mergeCell ref="D34:F34"/>
    <mergeCell ref="H34:J34"/>
    <mergeCell ref="L34:N34"/>
    <mergeCell ref="AF34:AH34"/>
    <mergeCell ref="V28:AA28"/>
    <mergeCell ref="T34:V34"/>
    <mergeCell ref="X34:Z34"/>
    <mergeCell ref="AB34:AD34"/>
    <mergeCell ref="E29:J29"/>
    <mergeCell ref="L29:Q29"/>
    <mergeCell ref="T1:Y1"/>
    <mergeCell ref="T2:Y2"/>
    <mergeCell ref="AA1:AJ1"/>
    <mergeCell ref="AA2:AJ2"/>
    <mergeCell ref="P11:U11"/>
    <mergeCell ref="AA3:AJ3"/>
    <mergeCell ref="AB11:AG11"/>
    <mergeCell ref="V8:AA8"/>
    <mergeCell ref="T3:Y3"/>
    <mergeCell ref="V9:AA9"/>
    <mergeCell ref="AA4:AJ4"/>
    <mergeCell ref="T4:Y4"/>
    <mergeCell ref="EI109:EJ109"/>
    <mergeCell ref="AL2:AL4"/>
    <mergeCell ref="R20:W21"/>
    <mergeCell ref="P12:U13"/>
    <mergeCell ref="AB12:AG13"/>
    <mergeCell ref="X33:Z33"/>
    <mergeCell ref="U42:V44"/>
    <mergeCell ref="Q42:R44"/>
    <mergeCell ref="D25:R25"/>
    <mergeCell ref="T25:AH25"/>
    <mergeCell ref="E28:J28"/>
    <mergeCell ref="L28:Q28"/>
    <mergeCell ref="V29:AA29"/>
    <mergeCell ref="AB28:AG29"/>
    <mergeCell ref="D19:I20"/>
    <mergeCell ref="D21:I21"/>
    <mergeCell ref="AB33:AD33"/>
    <mergeCell ref="AF33:AH33"/>
    <mergeCell ref="D33:F33"/>
    <mergeCell ref="H33:J33"/>
    <mergeCell ref="L33:N33"/>
    <mergeCell ref="P33:R33"/>
    <mergeCell ref="T33:V33"/>
    <mergeCell ref="J20:O21"/>
  </mergeCells>
  <conditionalFormatting sqref="M14">
    <cfRule type="cellIs" priority="872" dxfId="5" operator="lessThan" stopIfTrue="1">
      <formula>0</formula>
    </cfRule>
    <cfRule type="cellIs" priority="871" dxfId="4" operator="greaterThan" stopIfTrue="1">
      <formula>0</formula>
    </cfRule>
  </conditionalFormatting>
  <conditionalFormatting sqref="D36 D39 D42 D45 D48 D51 H36 H39 H42 H45 H48 H51 L36 L39 L42 L45 L48 L51 P36 P39 P42 P45 P48 P51 T36 T39 T42 T45 T48 T51 X36 X39 X42 X45 X48 X51 AB36 AB39 AB42 AB45 AB48 AB51 AF36 AF39 AF42 AF45 AF48 AF51">
    <cfRule type="expression" priority="252" dxfId="6">
      <formula>D36&lt;&gt;""</formula>
    </cfRule>
  </conditionalFormatting>
  <conditionalFormatting sqref="D37 D40 H37 H40 D43 D46 D49 D52 H43 H46 H49 H52 L37 L40 L43 L46 L49 L52 P37 P40 P43 P46 P49 P52 T37 T40 T43 T46 T49 T52 X37 X40 X43 X46 X49 X52 AB37 AB40 AB43 AB46 AB49 AB52 AF37 AF40 AF43 AF46 AF49 AF52">
    <cfRule type="containsText" priority="104" dxfId="4" operator="containsText" stopIfTrue="1" text="*+">
      <formula>NOT(ISERROR(SEARCH("*+",D37)))</formula>
    </cfRule>
    <cfRule type="containsText" priority="103" dxfId="5" operator="containsText" stopIfTrue="1" text="*-">
      <formula>NOT(ISERROR(SEARCH("*-",D37)))</formula>
    </cfRule>
  </conditionalFormatting>
  <conditionalFormatting sqref="AL8">
    <cfRule type="containsText" priority="6" dxfId="0" operator="containsText" stopIfTrue="1" text="Retailer">
      <formula>NOT(ISERROR(SEARCH("Retailer",AL8)))</formula>
    </cfRule>
    <cfRule type="cellIs" priority="5" dxfId="1" operator="equal" stopIfTrue="1">
      <formula>"Retailer"</formula>
    </cfRule>
  </conditionalFormatting>
  <conditionalFormatting sqref="AL9:AL15">
    <cfRule type="containsText" priority="2" dxfId="0" operator="containsText" stopIfTrue="1" text="Retailer">
      <formula>NOT(ISERROR(SEARCH("Retailer",AL9)))</formula>
    </cfRule>
    <cfRule type="cellIs" priority="1" dxfId="1" operator="equal" stopIfTrue="1">
      <formula>"Retailer"</formula>
    </cfRule>
  </conditionalFormatting>
  <dataValidations count="1">
    <dataValidation type="list" allowBlank="1" showInputMessage="1" showErrorMessage="1" sqref="AL8:AL15">
      <formula1>$CV$110:$CV$300</formula1>
    </dataValidation>
  </dataValidations>
  <printOptions/>
  <pageMargins left="0.3" right="0.3" top="0.3" bottom="0.3" header="0.3" footer="0.3"/>
  <pageSetup horizontalDpi="600" verticalDpi="600" orientation="landscape" scale="10"/>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EK646"/>
  <sheetViews>
    <sheetView showGridLines="0" zoomScale="85" zoomScaleNormal="85" workbookViewId="0" topLeftCell="A1">
      <selection pane="topLeft" activeCell="D39" sqref="D39"/>
    </sheetView>
  </sheetViews>
  <sheetFormatPr defaultColWidth="9.14285714285714" defaultRowHeight="14.25"/>
  <cols>
    <col min="1" max="1" width="2.71428571428571" style="109" customWidth="1"/>
    <col min="2" max="2" width="0.285714285714286" style="109" customWidth="1"/>
    <col min="3" max="3" width="1.71428571428571" style="109" customWidth="1"/>
    <col min="4" max="4" width="7.71428571428571" style="109" customWidth="1"/>
    <col min="5" max="5" width="2.28571428571429" style="109" customWidth="1"/>
    <col min="6" max="6" width="9.57142857142857" style="109" customWidth="1"/>
    <col min="7" max="7" width="0.857142857142857" style="109" customWidth="1"/>
    <col min="8" max="8" width="7.71428571428571" style="109" customWidth="1"/>
    <col min="9" max="9" width="2.28571428571429" style="109" customWidth="1"/>
    <col min="10" max="10" width="9.57142857142857" style="109" customWidth="1"/>
    <col min="11" max="11" width="0.857142857142857" style="109" customWidth="1"/>
    <col min="12" max="12" width="7.71428571428571" style="109" customWidth="1"/>
    <col min="13" max="13" width="2.28571428571429" style="109" customWidth="1"/>
    <col min="14" max="14" width="9.57142857142857" style="109" customWidth="1"/>
    <col min="15" max="15" width="0.857142857142857" style="109" customWidth="1"/>
    <col min="16" max="16" width="7.71428571428571" style="109" customWidth="1"/>
    <col min="17" max="17" width="2.28571428571429" style="109" customWidth="1"/>
    <col min="18" max="18" width="9.57142857142857" style="109" customWidth="1"/>
    <col min="19" max="19" width="0.857142857142857" style="109" customWidth="1"/>
    <col min="20" max="20" width="7.71428571428571" style="109" customWidth="1"/>
    <col min="21" max="21" width="2.28571428571429" style="109" customWidth="1"/>
    <col min="22" max="22" width="9.57142857142857" style="109" customWidth="1"/>
    <col min="23" max="23" width="0.857142857142857" style="109" customWidth="1"/>
    <col min="24" max="24" width="7.71428571428571" style="109" customWidth="1"/>
    <col min="25" max="25" width="2.28571428571429" style="109" customWidth="1"/>
    <col min="26" max="26" width="9.57142857142857" style="109" customWidth="1"/>
    <col min="27" max="27" width="0.857142857142857" style="109" customWidth="1"/>
    <col min="28" max="28" width="7.71428571428571" style="109" customWidth="1"/>
    <col min="29" max="29" width="2.28571428571429" style="109" customWidth="1"/>
    <col min="30" max="30" width="9.57142857142857" style="109" customWidth="1"/>
    <col min="31" max="31" width="0.857142857142857" style="109" customWidth="1"/>
    <col min="32" max="32" width="7.71428571428571" style="109" customWidth="1"/>
    <col min="33" max="33" width="2.28571428571429" style="109" customWidth="1"/>
    <col min="34" max="34" width="9.57142857142857" style="109" customWidth="1"/>
    <col min="35" max="35" width="1.71428571428571" style="109" customWidth="1"/>
    <col min="36" max="36" width="0.285714285714286" style="109" customWidth="1"/>
    <col min="37" max="37" width="2.71428571428571" style="109" customWidth="1"/>
    <col min="38" max="38" width="28.7142857142857" style="109" customWidth="1"/>
    <col min="39" max="77" width="9.14285714285714" style="109" customWidth="1"/>
    <col min="78" max="78" width="14.1428571428571" style="109" customWidth="1"/>
    <col min="79" max="79" width="14" style="109" customWidth="1"/>
    <col min="80" max="80" width="19" style="109" customWidth="1"/>
    <col min="81" max="81" width="14.8571428571429" style="109" customWidth="1"/>
    <col min="82" max="82" width="12.7142857142857" style="109" customWidth="1"/>
    <col min="83" max="83" width="18.7142857142857" style="109" customWidth="1"/>
    <col min="84" max="84" width="14.1428571428571" style="109" customWidth="1"/>
    <col min="85" max="85" width="18.7142857142857" style="109" customWidth="1"/>
    <col min="86" max="86" width="12.7142857142857" style="109" customWidth="1"/>
    <col min="87" max="87" width="18.7142857142857" style="109" customWidth="1"/>
    <col min="88" max="88" width="12.7142857142857" style="109" customWidth="1"/>
    <col min="89" max="89" width="18.7142857142857" style="109" customWidth="1"/>
    <col min="90" max="90" width="20.2857142857143" style="109" customWidth="1"/>
    <col min="91" max="91" width="16.2857142857143" style="109" customWidth="1"/>
    <col min="92" max="92" width="14.1428571428571" style="109" customWidth="1"/>
    <col min="93" max="93" width="21.1428571428571" style="109" customWidth="1"/>
    <col min="94" max="94" width="14.1428571428571" style="109" customWidth="1"/>
    <col min="95" max="95" width="21.1428571428571" style="109" customWidth="1"/>
    <col min="96" max="96" width="12.7142857142857" style="109" customWidth="1"/>
    <col min="97" max="97" width="21.1428571428571" style="109" customWidth="1"/>
    <col min="98" max="98" width="17.4285714285714" style="109" customWidth="1"/>
    <col min="99" max="99" width="21.1428571428571" style="109" customWidth="1"/>
    <col min="100" max="100" width="23.7142857142857" style="109" customWidth="1"/>
    <col min="101" max="101" width="17.2857142857143" style="109" customWidth="1"/>
    <col min="102" max="102" width="52.2857142857143" style="109" customWidth="1"/>
    <col min="103" max="103" width="29.8571428571429" style="109" customWidth="1"/>
    <col min="104" max="104" width="13.5714285714286" style="109" customWidth="1"/>
    <col min="105" max="105" width="18.1428571428571" style="109" customWidth="1"/>
    <col min="106" max="106" width="16.2857142857143" style="109" customWidth="1"/>
    <col min="107" max="107" width="16.8571428571429" style="109" customWidth="1"/>
    <col min="108" max="108" width="19.1428571428571" style="109" customWidth="1"/>
    <col min="109" max="109" width="38.2857142857143" style="109" customWidth="1"/>
    <col min="110" max="110" width="28.8571428571429" style="109" customWidth="1"/>
    <col min="111" max="111" width="31.4285714285714" style="109" customWidth="1"/>
    <col min="112" max="112" width="28.5714285714286" style="109" customWidth="1"/>
    <col min="113" max="113" width="37.1428571428571" style="109" customWidth="1"/>
    <col min="114" max="114" width="39.1428571428571" style="109" customWidth="1"/>
    <col min="115" max="115" width="43.4285714285714" style="109" customWidth="1"/>
    <col min="116" max="116" width="45.4285714285714" style="109" customWidth="1"/>
    <col min="117" max="117" width="48" style="109" customWidth="1"/>
    <col min="118" max="118" width="29.8571428571429" style="109" customWidth="1"/>
    <col min="119" max="119" width="13.5714285714286" style="109" customWidth="1"/>
    <col min="120" max="120" width="18.1428571428571" style="109" customWidth="1"/>
    <col min="121" max="121" width="16.2857142857143" style="109" customWidth="1"/>
    <col min="122" max="122" width="16.8571428571429" style="109" customWidth="1"/>
    <col min="123" max="123" width="19.1428571428571" style="109" customWidth="1"/>
    <col min="124" max="124" width="38.2857142857143" style="109" customWidth="1"/>
    <col min="125" max="125" width="28.8571428571429" style="109" customWidth="1"/>
    <col min="126" max="126" width="31.4285714285714" style="109" customWidth="1"/>
    <col min="127" max="127" width="28.5714285714286" style="109" customWidth="1"/>
    <col min="128" max="128" width="37.1428571428571" style="109" customWidth="1"/>
    <col min="129" max="129" width="39.1428571428571" style="109" customWidth="1"/>
    <col min="130" max="130" width="43.4285714285714" style="109" customWidth="1"/>
    <col min="131" max="131" width="45.4285714285714" style="109" customWidth="1"/>
    <col min="132" max="132" width="48" style="109" customWidth="1"/>
    <col min="133" max="133" width="39.1428571428571" style="109" customWidth="1"/>
    <col min="134" max="134" width="43.4285714285714" style="109" customWidth="1"/>
    <col min="135" max="135" width="39.1428571428571" style="109" customWidth="1"/>
    <col min="136" max="136" width="43.4285714285714" style="109" customWidth="1"/>
    <col min="137" max="138" width="12.8571428571429" style="109" customWidth="1"/>
    <col min="139" max="139" width="39.1428571428571" style="109" customWidth="1"/>
    <col min="140" max="140" width="32.5714285714286" style="109" customWidth="1"/>
    <col min="141" max="141" width="13.7142857142857" style="109" customWidth="1"/>
    <col min="142" max="16384" width="9.14285714285714" style="109" customWidth="1"/>
  </cols>
  <sheetData>
    <row r="1" spans="1:138" ht="18" customHeight="1">
      <c r="A1" s="1"/>
      <c s="1"/>
      <c s="1" t="s">
        <v>0</v>
      </c>
      <c s="1"/>
      <c s="1"/>
      <c s="1"/>
      <c s="1"/>
      <c s="1"/>
      <c s="1"/>
      <c s="1"/>
      <c s="1"/>
      <c s="1"/>
      <c s="1"/>
      <c r="T1" s="173"/>
      <c s="174"/>
      <c s="174"/>
      <c s="174"/>
      <c s="174"/>
      <c s="175"/>
      <c s="15" t="s">
        <v>53</v>
      </c>
      <c s="179" t="s">
        <v>25</v>
      </c>
      <c s="180"/>
      <c s="180"/>
      <c s="180"/>
      <c s="180"/>
      <c s="180"/>
      <c s="180"/>
      <c s="180"/>
      <c s="180"/>
      <c s="181"/>
      <c r="AL1" s="15" t="s">
        <v>409</v>
      </c>
      <c r="CA1" s="20" t="s">
        <v>39</v>
      </c>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2" spans="1:138" ht="18" customHeight="1">
      <c r="A2" s="1"/>
      <c s="1"/>
      <c/>
      <c/>
      <c/>
      <c/>
      <c/>
      <c/>
      <c/>
      <c/>
      <c/>
      <c/>
      <c/>
      <c/>
      <c r="T2" s="176" t="s">
        <v>27</v>
      </c>
      <c s="177"/>
      <c s="177"/>
      <c s="177"/>
      <c s="177"/>
      <c s="178"/>
      <c s="15" t="s">
        <v>53</v>
      </c>
      <c s="179" t="s">
        <v>28</v>
      </c>
      <c s="180"/>
      <c s="180"/>
      <c s="180"/>
      <c s="180"/>
      <c s="180"/>
      <c s="180"/>
      <c s="180"/>
      <c s="180"/>
      <c s="181"/>
      <c r="AL2" s="116" t="s">
        <v>410</v>
      </c>
      <c r="CA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3" spans="1:138" ht="18">
      <c r="A3" s="1"/>
      <c s="82"/>
      <c s="82"/>
      <c s="1"/>
      <c s="1"/>
      <c s="1"/>
      <c s="1"/>
      <c s="1"/>
      <c s="1"/>
      <c s="1"/>
      <c s="1"/>
      <c s="1"/>
      <c s="1"/>
      <c s="1"/>
      <c s="1"/>
      <c r="T3" s="188" t="s">
        <v>26</v>
      </c>
      <c s="189"/>
      <c s="189"/>
      <c s="189"/>
      <c s="189"/>
      <c s="190"/>
      <c s="15" t="s">
        <v>53</v>
      </c>
      <c s="179" t="s">
        <v>390</v>
      </c>
      <c s="180"/>
      <c s="180"/>
      <c s="180"/>
      <c s="180"/>
      <c s="180"/>
      <c s="180"/>
      <c s="180"/>
      <c s="180"/>
      <c s="181"/>
      <c r="AL3" s="117"/>
      <c r="CA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row>
    <row r="4" spans="1:138" ht="15">
      <c r="A4" s="21"/>
      <c s="21"/>
      <c s="21"/>
      <c s="21"/>
      <c s="21"/>
      <c s="21"/>
      <c s="21"/>
      <c s="21"/>
      <c s="21"/>
      <c s="21"/>
      <c s="21"/>
      <c s="21"/>
      <c s="21"/>
      <c s="21"/>
      <c s="21"/>
      <c s="21"/>
      <c s="21"/>
      <c s="21"/>
      <c s="21"/>
      <c s="194"/>
      <c s="195"/>
      <c s="195"/>
      <c s="195"/>
      <c s="195"/>
      <c s="196"/>
      <c s="15" t="s">
        <v>53</v>
      </c>
      <c s="179" t="s">
        <v>412</v>
      </c>
      <c s="180"/>
      <c s="180"/>
      <c s="180"/>
      <c s="180"/>
      <c s="180"/>
      <c s="180"/>
      <c s="180"/>
      <c s="180"/>
      <c s="181"/>
      <c r="AL4" s="118"/>
      <c r="CA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5" spans="1:138" s="43" customFormat="1" ht="1.5" customHeight="1">
      <c r="A5" s="40"/>
      <c s="40"/>
      <c s="40"/>
      <c s="40"/>
      <c s="40"/>
      <c s="40"/>
      <c s="40"/>
      <c s="40"/>
      <c s="40"/>
      <c s="40"/>
      <c s="40"/>
      <c s="40"/>
      <c s="40"/>
      <c s="40"/>
      <c s="40"/>
      <c s="40"/>
      <c s="40"/>
      <c s="40"/>
      <c s="40"/>
      <c s="94"/>
      <c s="94"/>
      <c s="94"/>
      <c s="94"/>
      <c s="94"/>
      <c s="94"/>
      <c s="95"/>
      <c s="96"/>
      <c s="96"/>
      <c s="96"/>
      <c s="96"/>
      <c s="96"/>
      <c s="96"/>
      <c s="96"/>
      <c s="96"/>
      <c s="96"/>
      <c s="96"/>
      <c r="AL5" s="97"/>
      <c r="CA5"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row>
    <row r="6" spans="1:138" ht="1.5" customHeight="1">
      <c r="A6" s="21"/>
      <c s="22"/>
      <c s="23"/>
      <c s="23"/>
      <c s="23"/>
      <c s="23"/>
      <c s="23"/>
      <c s="23"/>
      <c s="23"/>
      <c s="23"/>
      <c s="23"/>
      <c s="23"/>
      <c s="23"/>
      <c s="23"/>
      <c s="23"/>
      <c s="23"/>
      <c s="23"/>
      <c s="23"/>
      <c s="23"/>
      <c s="23"/>
      <c s="23"/>
      <c s="23"/>
      <c s="23"/>
      <c s="23"/>
      <c s="23"/>
      <c s="23"/>
      <c s="23"/>
      <c s="23"/>
      <c s="23"/>
      <c s="23"/>
      <c s="23"/>
      <c s="23"/>
      <c s="23"/>
      <c s="23"/>
      <c s="23"/>
      <c s="24"/>
      <c r="CA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7" spans="1:138" ht="1.5" customHeight="1">
      <c r="A7" s="21"/>
      <c s="25"/>
      <c s="21"/>
      <c s="21"/>
      <c s="21"/>
      <c s="21"/>
      <c s="21"/>
      <c s="21"/>
      <c s="21"/>
      <c s="21"/>
      <c s="21"/>
      <c s="21"/>
      <c s="21"/>
      <c s="21"/>
      <c s="21"/>
      <c s="21"/>
      <c s="21"/>
      <c s="21"/>
      <c s="21"/>
      <c s="21"/>
      <c s="21"/>
      <c s="21"/>
      <c s="21"/>
      <c s="21"/>
      <c s="21"/>
      <c s="21"/>
      <c s="21"/>
      <c s="21"/>
      <c s="21"/>
      <c s="21"/>
      <c s="21"/>
      <c s="21"/>
      <c s="21"/>
      <c s="21"/>
      <c s="21"/>
      <c s="26"/>
      <c r="CA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8" spans="1:138" ht="12" customHeight="1">
      <c r="A8" s="21"/>
      <c s="25"/>
      <c s="21"/>
      <c s="83" t="str">
        <f>Picture!D8</f>
        <v>Geography : Total US - Target Corporate</v>
      </c>
      <c r="F8" s="21"/>
      <c s="21"/>
      <c s="21"/>
      <c s="21"/>
      <c s="21"/>
      <c s="21"/>
      <c s="21"/>
      <c s="21"/>
      <c s="21"/>
      <c s="21"/>
      <c s="21"/>
      <c s="21"/>
      <c s="21"/>
      <c s="107"/>
      <c s="107"/>
      <c s="108"/>
      <c s="185" t="str">
        <f>Picture!V8</f>
        <v>121.2MM HHs</v>
      </c>
      <c s="186"/>
      <c s="186"/>
      <c s="186"/>
      <c s="186"/>
      <c s="187"/>
      <c s="107"/>
      <c s="107"/>
      <c s="107"/>
      <c s="21"/>
      <c s="21"/>
      <c s="21"/>
      <c s="21"/>
      <c s="21"/>
      <c s="26"/>
      <c r="AL8" s="91" t="s">
        <v>4</v>
      </c>
      <c r="CA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9" spans="1:138" ht="12" customHeight="1">
      <c r="A9" s="21"/>
      <c s="25"/>
      <c s="21"/>
      <c s="83" t="str">
        <f>Picture!D9</f>
        <v>Time : Latest 52 Weeks Ending Jan-24-2016</v>
      </c>
      <c r="F9" s="21"/>
      <c s="21"/>
      <c s="21"/>
      <c s="21"/>
      <c s="21"/>
      <c s="21"/>
      <c s="21"/>
      <c s="21"/>
      <c s="21"/>
      <c s="21"/>
      <c s="21"/>
      <c s="21"/>
      <c s="29"/>
      <c s="21"/>
      <c s="21"/>
      <c s="21"/>
      <c s="191" t="str">
        <f>Picture!V9</f>
        <v>in Total US </v>
      </c>
      <c s="192"/>
      <c s="192"/>
      <c s="192"/>
      <c s="192"/>
      <c s="193"/>
      <c s="21"/>
      <c s="21"/>
      <c s="21"/>
      <c s="110"/>
      <c s="21"/>
      <c s="21"/>
      <c r="AI9" s="21"/>
      <c s="26"/>
      <c r="AL9" s="91" t="s">
        <v>4</v>
      </c>
      <c r="CA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10" spans="1:138" ht="12" customHeight="1">
      <c r="A10" s="21"/>
      <c s="25"/>
      <c s="21"/>
      <c s="83" t="str">
        <f>Picture!D10</f>
        <v>Product : AISLE-LAUNDRY</v>
      </c>
      <c r="F10" s="21"/>
      <c s="21"/>
      <c s="21"/>
      <c s="21"/>
      <c s="21"/>
      <c s="21"/>
      <c s="21"/>
      <c s="21"/>
      <c s="21"/>
      <c s="21"/>
      <c s="21"/>
      <c s="21"/>
      <c s="29"/>
      <c s="21"/>
      <c s="10"/>
      <c s="21"/>
      <c r="Y10" s="21"/>
      <c r="AB10" s="21"/>
      <c s="21"/>
      <c s="21"/>
      <c s="11"/>
      <c s="10"/>
      <c s="21"/>
      <c r="AI10" s="21"/>
      <c s="26"/>
      <c r="AL10" s="91" t="s">
        <v>4</v>
      </c>
      <c r="CA1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11" spans="1:138" ht="12" customHeight="1">
      <c r="A11" s="21"/>
      <c s="25"/>
      <c s="21"/>
      <c s="83" t="str">
        <f>Picture!D11</f>
        <v>HH Demo Summary : All HH Income Per Capita</v>
      </c>
      <c r="F11" s="21"/>
      <c s="21"/>
      <c s="21"/>
      <c s="21"/>
      <c s="21"/>
      <c s="21"/>
      <c s="21"/>
      <c s="21"/>
      <c s="107"/>
      <c s="107"/>
      <c s="182" t="str">
        <f>Picture!P11</f>
        <v>55.4% (-1.5pts) (67.1MM HHs)</v>
      </c>
      <c s="183"/>
      <c s="183"/>
      <c s="183"/>
      <c s="183"/>
      <c s="184"/>
      <c s="107"/>
      <c s="107"/>
      <c r="Y11" s="21"/>
      <c r="AB11" s="150" t="str">
        <f>Picture!AB11</f>
        <v>44.6% (+1.5pts) (54.0MM HHs)</v>
      </c>
      <c s="151"/>
      <c s="151"/>
      <c s="151"/>
      <c s="151"/>
      <c s="152"/>
      <c r="AI11" s="21"/>
      <c s="26"/>
      <c r="AL11" s="91" t="s">
        <v>4</v>
      </c>
      <c r="CA1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12" spans="1:138" ht="12" customHeight="1">
      <c r="A12" s="21"/>
      <c s="25"/>
      <c s="21"/>
      <c s="83" t="str">
        <f>Picture!D12</f>
        <v>Trip Mission : All Trip Missions</v>
      </c>
      <c s="21"/>
      <c s="21"/>
      <c s="21"/>
      <c s="21"/>
      <c s="21"/>
      <c s="21"/>
      <c s="21"/>
      <c s="21"/>
      <c s="32"/>
      <c s="80"/>
      <c s="21"/>
      <c s="125" t="str">
        <f>Picture!P12</f>
        <v>Shop in Target Corporate</v>
      </c>
      <c s="126"/>
      <c s="126"/>
      <c s="126"/>
      <c s="126"/>
      <c s="127"/>
      <c s="21"/>
      <c s="21"/>
      <c s="110"/>
      <c s="21"/>
      <c s="21"/>
      <c r="AB12" s="131" t="str">
        <f>Picture!AB12</f>
        <v>Do Not Shop in Target Corporate</v>
      </c>
      <c s="132"/>
      <c s="132"/>
      <c s="132"/>
      <c s="132"/>
      <c s="133"/>
      <c r="AI12" s="21"/>
      <c s="26"/>
      <c r="AL12" s="91" t="s">
        <v>4</v>
      </c>
      <c r="CA1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13" spans="1:138" ht="12" customHeight="1">
      <c r="A13" s="21"/>
      <c s="25"/>
      <c s="21"/>
      <c s="83" t="str">
        <f>Picture!D13</f>
        <v>Parent Company : Total (Unfiltered)</v>
      </c>
      <c s="21"/>
      <c s="21"/>
      <c s="21"/>
      <c s="21"/>
      <c s="21"/>
      <c s="21"/>
      <c s="21"/>
      <c s="21"/>
      <c s="110"/>
      <c s="21"/>
      <c s="21"/>
      <c s="128"/>
      <c s="129"/>
      <c s="129"/>
      <c s="129"/>
      <c s="129"/>
      <c s="130"/>
      <c s="21"/>
      <c s="21"/>
      <c s="110"/>
      <c s="21"/>
      <c s="21"/>
      <c r="AB13" s="134"/>
      <c s="135"/>
      <c s="135"/>
      <c s="135"/>
      <c s="135"/>
      <c s="136"/>
      <c r="AI13" s="21"/>
      <c s="26"/>
      <c r="AL13" s="91" t="s">
        <v>4</v>
      </c>
      <c r="CA1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row>
    <row r="14" spans="1:138" ht="6" customHeight="1">
      <c r="A14" s="21"/>
      <c s="25"/>
      <c s="21"/>
      <c s="21"/>
      <c s="21"/>
      <c s="21"/>
      <c s="21"/>
      <c s="21"/>
      <c s="21"/>
      <c s="21"/>
      <c s="21"/>
      <c s="21"/>
      <c s="11"/>
      <c s="81"/>
      <c s="21"/>
      <c s="2"/>
      <c s="21"/>
      <c s="21"/>
      <c r="U14" s="21"/>
      <c s="21"/>
      <c s="21"/>
      <c s="11"/>
      <c s="21"/>
      <c r="AB14" s="21"/>
      <c r="AI14" s="21"/>
      <c s="26"/>
      <c r="CA1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15" spans="1:138" ht="12" customHeight="1">
      <c r="A15" s="21"/>
      <c s="25"/>
      <c s="21"/>
      <c r="J15" s="147" t="str">
        <f>Picture!J15</f>
        <v>91.6% (-1.0pts) (61.5MM HHs)</v>
      </c>
      <c s="148"/>
      <c s="148"/>
      <c s="148"/>
      <c s="148"/>
      <c s="149"/>
      <c s="31"/>
      <c s="107"/>
      <c s="107"/>
      <c s="107"/>
      <c s="21"/>
      <c s="21"/>
      <c s="150" t="str">
        <f>Picture!V15</f>
        <v>8.4% (+1.0pts) (5.6MM HHs)</v>
      </c>
      <c s="151"/>
      <c s="151"/>
      <c s="151"/>
      <c s="151"/>
      <c s="152"/>
      <c r="AJ15" s="26"/>
      <c r="AL15" s="98"/>
      <c r="CA1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16" spans="1:138" ht="24.75" customHeight="1">
      <c r="A16" s="21"/>
      <c s="25"/>
      <c s="21"/>
      <c r="J16" s="201" t="str">
        <f>Picture!J16</f>
        <v>Buy AISLE-LAUNDRY Somewhere</v>
      </c>
      <c s="202"/>
      <c s="202"/>
      <c s="202"/>
      <c s="202"/>
      <c s="203"/>
      <c r="R16" s="80"/>
      <c s="21"/>
      <c s="110"/>
      <c s="21"/>
      <c s="134" t="str">
        <f>Picture!V16</f>
        <v>Do Not Buy AISLE-LAUNDRY Anywhere</v>
      </c>
      <c s="135"/>
      <c s="135"/>
      <c s="135"/>
      <c s="135"/>
      <c s="136"/>
      <c r="AJ16" s="26"/>
      <c r="AL16" s="99"/>
      <c r="CA1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17" spans="1:138" ht="6" customHeight="1">
      <c r="A17" s="21"/>
      <c s="25"/>
      <c s="21"/>
      <c s="21"/>
      <c s="21"/>
      <c s="21"/>
      <c s="21"/>
      <c s="21"/>
      <c s="21"/>
      <c s="21"/>
      <c s="21"/>
      <c s="21"/>
      <c s="32"/>
      <c s="21"/>
      <c s="21"/>
      <c s="21"/>
      <c s="21"/>
      <c s="10"/>
      <c s="21"/>
      <c s="110"/>
      <c s="21"/>
      <c s="21"/>
      <c s="21"/>
      <c s="21"/>
      <c s="21"/>
      <c s="21"/>
      <c s="21"/>
      <c s="21"/>
      <c r="AI17" s="21"/>
      <c s="26"/>
      <c r="AL17" s="99"/>
      <c r="CA1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18" spans="1:138" ht="3.75" customHeight="1">
      <c r="A18" s="21"/>
      <c s="25"/>
      <c s="21"/>
      <c s="34"/>
      <c s="34"/>
      <c s="34"/>
      <c s="34"/>
      <c s="34"/>
      <c s="34"/>
      <c s="34"/>
      <c s="34"/>
      <c s="34"/>
      <c s="35"/>
      <c s="34"/>
      <c s="34"/>
      <c s="34"/>
      <c s="34"/>
      <c s="34"/>
      <c s="34"/>
      <c s="35"/>
      <c s="34"/>
      <c s="34"/>
      <c s="34"/>
      <c s="34"/>
      <c s="34"/>
      <c s="34"/>
      <c s="34"/>
      <c s="34"/>
      <c s="34"/>
      <c s="34"/>
      <c s="34"/>
      <c s="34"/>
      <c s="34"/>
      <c s="34"/>
      <c s="21"/>
      <c s="26"/>
      <c r="CA1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19" spans="1:138" ht="12.75" customHeight="1">
      <c r="A19" s="21"/>
      <c s="25"/>
      <c s="21"/>
      <c s="156" t="s">
        <v>473</v>
      </c>
      <c s="156"/>
      <c s="156"/>
      <c s="156"/>
      <c s="156"/>
      <c s="157"/>
      <c s="147" t="str">
        <f>Picture!J19</f>
        <v>26.8% (-2.1pts) (16.5MM HHs)</v>
      </c>
      <c s="148"/>
      <c s="148"/>
      <c s="148"/>
      <c s="148"/>
      <c s="149"/>
      <c s="34"/>
      <c s="34"/>
      <c s="150" t="str">
        <f>Picture!R19</f>
        <v>73.2% (+2.1pts) (45.0MM HHs)</v>
      </c>
      <c s="151"/>
      <c s="151"/>
      <c s="151"/>
      <c s="151"/>
      <c s="152"/>
      <c s="34"/>
      <c s="34"/>
      <c s="204" t="s">
        <v>46</v>
      </c>
      <c s="154"/>
      <c s="154"/>
      <c s="154"/>
      <c s="154"/>
      <c s="154"/>
      <c s="154"/>
      <c s="154"/>
      <c s="3"/>
      <c s="4"/>
      <c s="26"/>
      <c r="CA1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20" spans="1:138" ht="12.75" customHeight="1">
      <c r="A20" s="21"/>
      <c s="25"/>
      <c s="21"/>
      <c s="156"/>
      <c s="156"/>
      <c s="156"/>
      <c s="156"/>
      <c s="156"/>
      <c s="157"/>
      <c s="164" t="str">
        <f>Picture!J20</f>
        <v>Buy AISLE-LAUNDRY in Target Corporate</v>
      </c>
      <c s="165"/>
      <c s="165"/>
      <c s="165"/>
      <c s="165"/>
      <c s="166"/>
      <c s="34"/>
      <c s="34"/>
      <c s="119" t="str">
        <f>Picture!R20</f>
        <v>Do Not Buy AISLE-LAUNDRY in Target Corporate</v>
      </c>
      <c s="120"/>
      <c s="120"/>
      <c s="120"/>
      <c s="120"/>
      <c s="121"/>
      <c s="34"/>
      <c s="34"/>
      <c s="204"/>
      <c s="154"/>
      <c s="154"/>
      <c s="154"/>
      <c s="154"/>
      <c s="154"/>
      <c s="154"/>
      <c s="154"/>
      <c s="3"/>
      <c s="4"/>
      <c s="26"/>
      <c r="CA2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row>
    <row r="21" spans="1:138" ht="12.75" customHeight="1">
      <c r="A21" s="21"/>
      <c s="25"/>
      <c s="21"/>
      <c s="158">
        <f>Picture!D21</f>
        <v>16876764.4116231</v>
      </c>
      <c s="159"/>
      <c s="159"/>
      <c s="159"/>
      <c s="159"/>
      <c s="160"/>
      <c s="167"/>
      <c s="168"/>
      <c s="168"/>
      <c s="168"/>
      <c s="168"/>
      <c s="169"/>
      <c s="34"/>
      <c s="34"/>
      <c s="122"/>
      <c s="123"/>
      <c s="123"/>
      <c s="123"/>
      <c s="123"/>
      <c s="124"/>
      <c s="34"/>
      <c s="34"/>
      <c s="154"/>
      <c s="154"/>
      <c s="154"/>
      <c s="154"/>
      <c s="154"/>
      <c s="154"/>
      <c s="154"/>
      <c s="154"/>
      <c s="38"/>
      <c s="39"/>
      <c s="26"/>
      <c r="CA2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22" spans="1:138" s="43" customFormat="1" ht="3.75" customHeight="1">
      <c r="A22" s="40"/>
      <c s="41"/>
      <c s="40"/>
      <c s="34"/>
      <c s="34"/>
      <c s="36"/>
      <c s="36"/>
      <c s="36"/>
      <c s="5"/>
      <c s="5"/>
      <c s="8"/>
      <c s="5"/>
      <c s="34"/>
      <c s="34"/>
      <c s="34"/>
      <c s="34"/>
      <c s="34"/>
      <c s="5"/>
      <c s="5"/>
      <c s="8"/>
      <c s="5"/>
      <c s="34"/>
      <c s="38"/>
      <c s="34"/>
      <c s="34"/>
      <c s="34"/>
      <c s="34"/>
      <c s="38"/>
      <c s="38"/>
      <c s="38"/>
      <c s="38"/>
      <c s="38"/>
      <c s="38"/>
      <c s="38"/>
      <c s="39"/>
      <c s="42"/>
      <c r="AL22" s="109"/>
      <c r="CA2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23" spans="1:138" s="43" customFormat="1" ht="6" customHeight="1">
      <c r="A23" s="40"/>
      <c s="41"/>
      <c s="40"/>
      <c s="40"/>
      <c s="40"/>
      <c s="39"/>
      <c s="44"/>
      <c s="45"/>
      <c s="45"/>
      <c s="45"/>
      <c s="46"/>
      <c s="44"/>
      <c s="44"/>
      <c s="40"/>
      <c s="40"/>
      <c s="39"/>
      <c s="39"/>
      <c s="40"/>
      <c s="39"/>
      <c s="46"/>
      <c s="45"/>
      <c s="45"/>
      <c s="39"/>
      <c s="40"/>
      <c s="40"/>
      <c s="40"/>
      <c s="40"/>
      <c s="39"/>
      <c s="39"/>
      <c s="39"/>
      <c s="39"/>
      <c s="39"/>
      <c s="39"/>
      <c s="39"/>
      <c s="39"/>
      <c s="42"/>
      <c r="AL23" s="109"/>
      <c r="CA2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24" spans="1:138" s="43" customFormat="1" ht="6" customHeight="1">
      <c r="A24" s="40"/>
      <c s="41"/>
      <c s="40"/>
      <c s="40"/>
      <c s="40"/>
      <c s="39"/>
      <c s="47"/>
      <c s="39"/>
      <c s="39"/>
      <c s="39"/>
      <c s="39"/>
      <c s="40"/>
      <c s="40"/>
      <c s="48"/>
      <c s="40"/>
      <c s="39"/>
      <c s="39"/>
      <c s="40"/>
      <c s="39"/>
      <c s="39"/>
      <c s="39"/>
      <c s="39"/>
      <c s="46"/>
      <c s="40"/>
      <c s="40"/>
      <c s="40"/>
      <c s="40"/>
      <c s="39"/>
      <c s="39"/>
      <c s="39"/>
      <c s="39"/>
      <c s="39"/>
      <c s="39"/>
      <c s="39"/>
      <c s="39"/>
      <c s="42"/>
      <c r="AL24" s="109"/>
      <c r="CA2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25" spans="1:138" s="43" customFormat="1" ht="12" customHeight="1">
      <c r="A25" s="40"/>
      <c s="41"/>
      <c s="40"/>
      <c s="141" t="s">
        <v>1</v>
      </c>
      <c s="142"/>
      <c s="142"/>
      <c s="142"/>
      <c s="142"/>
      <c s="142"/>
      <c s="142"/>
      <c s="142"/>
      <c s="142"/>
      <c s="142"/>
      <c s="142"/>
      <c s="142"/>
      <c s="142"/>
      <c s="142"/>
      <c s="143"/>
      <c s="39"/>
      <c s="144" t="s">
        <v>2</v>
      </c>
      <c s="145"/>
      <c s="145"/>
      <c s="145"/>
      <c s="145"/>
      <c s="145"/>
      <c s="145"/>
      <c s="145"/>
      <c s="145"/>
      <c s="145"/>
      <c s="145"/>
      <c s="145"/>
      <c s="145"/>
      <c s="145"/>
      <c s="146"/>
      <c s="39"/>
      <c s="42"/>
      <c r="AL25" s="109"/>
      <c r="CA2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26" spans="1:138" s="43" customFormat="1" ht="6" customHeight="1">
      <c r="A26" s="40"/>
      <c s="41"/>
      <c s="40"/>
      <c s="40"/>
      <c s="40"/>
      <c s="39"/>
      <c s="49"/>
      <c s="10"/>
      <c s="39"/>
      <c s="39"/>
      <c s="39"/>
      <c s="40"/>
      <c s="40"/>
      <c s="12"/>
      <c s="40"/>
      <c s="39"/>
      <c s="39"/>
      <c s="40"/>
      <c s="50"/>
      <c s="50"/>
      <c s="50"/>
      <c s="50"/>
      <c s="51"/>
      <c s="10"/>
      <c s="50"/>
      <c r="AC26" s="50"/>
      <c s="50"/>
      <c s="50"/>
      <c s="50"/>
      <c s="50"/>
      <c s="50"/>
      <c s="50"/>
      <c s="42"/>
      <c r="AL26" s="109"/>
      <c r="CA2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27" spans="1:138" s="43" customFormat="1" ht="3.75" customHeight="1">
      <c r="A27" s="40"/>
      <c s="41"/>
      <c s="40"/>
      <c s="52"/>
      <c s="52"/>
      <c s="53"/>
      <c s="54"/>
      <c s="53"/>
      <c s="53"/>
      <c s="53"/>
      <c s="53"/>
      <c s="52"/>
      <c s="52"/>
      <c s="55"/>
      <c s="52"/>
      <c s="53"/>
      <c s="53"/>
      <c s="52"/>
      <c s="56"/>
      <c s="56"/>
      <c s="56"/>
      <c s="56"/>
      <c s="57"/>
      <c s="56"/>
      <c s="56"/>
      <c s="58"/>
      <c s="58"/>
      <c s="58"/>
      <c s="56"/>
      <c s="56"/>
      <c s="56"/>
      <c s="56"/>
      <c s="56"/>
      <c s="56"/>
      <c s="50"/>
      <c s="42"/>
      <c r="CA2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28" spans="1:138" s="43" customFormat="1" ht="12" customHeight="1">
      <c r="A28" s="40"/>
      <c s="41"/>
      <c s="40"/>
      <c s="52"/>
      <c s="147" t="str">
        <f>Picture!E28</f>
        <v>31.3% (+0.4pts) ($244.7MM)</v>
      </c>
      <c s="148"/>
      <c s="148"/>
      <c s="148"/>
      <c s="148"/>
      <c s="149"/>
      <c s="6"/>
      <c s="150" t="str">
        <f>Picture!L28</f>
        <v>68.7% (-0.4pts) ($536.2MM)</v>
      </c>
      <c s="151"/>
      <c s="151"/>
      <c s="151"/>
      <c s="151"/>
      <c s="152"/>
      <c s="105"/>
      <c s="100"/>
      <c s="102"/>
      <c s="100"/>
      <c s="150" t="str">
        <f>Picture!V28</f>
        <v>100.0% (0.0pts) ($1,805.5MM)</v>
      </c>
      <c s="151"/>
      <c s="151"/>
      <c s="151"/>
      <c s="151"/>
      <c s="152"/>
      <c s="153" t="s">
        <v>47</v>
      </c>
      <c s="154"/>
      <c s="154"/>
      <c s="154"/>
      <c s="154"/>
      <c s="154"/>
      <c s="56"/>
      <c s="50"/>
      <c s="42"/>
      <c r="CA2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29" spans="1:138" s="43" customFormat="1" ht="24" customHeight="1">
      <c r="A29" s="40"/>
      <c s="41"/>
      <c s="40"/>
      <c s="52"/>
      <c s="128" t="str">
        <f>Picture!E29</f>
        <v>AISLE-LAUNDRY $ Spent in Target Corporate</v>
      </c>
      <c s="129"/>
      <c s="129"/>
      <c s="129"/>
      <c s="129"/>
      <c s="130"/>
      <c s="53"/>
      <c s="134" t="str">
        <f>Picture!L29</f>
        <v>AISLE-LAUNDRY $ Leaked Elsewhere</v>
      </c>
      <c s="135"/>
      <c s="135"/>
      <c s="135"/>
      <c s="135"/>
      <c s="136"/>
      <c s="106"/>
      <c s="100"/>
      <c s="101"/>
      <c s="100"/>
      <c s="134" t="str">
        <f>Picture!V29</f>
        <v>AISLE-LAUNDRY $ Leaked Elsewhere</v>
      </c>
      <c s="135"/>
      <c s="135"/>
      <c s="135"/>
      <c s="135"/>
      <c s="136"/>
      <c s="155"/>
      <c s="154"/>
      <c s="154"/>
      <c s="154"/>
      <c s="154"/>
      <c s="154"/>
      <c s="56"/>
      <c s="50"/>
      <c s="42"/>
      <c r="CA2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30" spans="1:138" s="43" customFormat="1" ht="3.75" customHeight="1">
      <c r="A30" s="40"/>
      <c s="41"/>
      <c s="40"/>
      <c s="52"/>
      <c s="52"/>
      <c s="7"/>
      <c s="7"/>
      <c s="7"/>
      <c s="7"/>
      <c s="53"/>
      <c s="53"/>
      <c s="7"/>
      <c s="7"/>
      <c s="9"/>
      <c s="52"/>
      <c s="53"/>
      <c s="53"/>
      <c s="52"/>
      <c s="56"/>
      <c s="56"/>
      <c s="56"/>
      <c s="7"/>
      <c s="9"/>
      <c s="7"/>
      <c s="56"/>
      <c s="58"/>
      <c s="58"/>
      <c s="58"/>
      <c s="56"/>
      <c s="56"/>
      <c s="56"/>
      <c s="56"/>
      <c s="56"/>
      <c s="56"/>
      <c s="50"/>
      <c s="42"/>
      <c r="CA3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31" spans="1:138" s="43" customFormat="1" ht="6" customHeight="1">
      <c r="A31" s="40"/>
      <c s="41"/>
      <c s="40"/>
      <c s="40"/>
      <c s="40"/>
      <c s="39"/>
      <c s="45"/>
      <c s="45"/>
      <c s="45"/>
      <c s="39"/>
      <c s="45"/>
      <c s="44"/>
      <c s="44"/>
      <c s="60"/>
      <c s="44"/>
      <c s="45"/>
      <c s="45"/>
      <c s="40"/>
      <c s="109"/>
      <c s="39"/>
      <c s="39"/>
      <c s="39"/>
      <c s="46"/>
      <c s="45"/>
      <c s="44"/>
      <c s="40"/>
      <c s="44"/>
      <c s="44"/>
      <c s="45"/>
      <c s="39"/>
      <c s="45"/>
      <c s="45"/>
      <c s="45"/>
      <c s="39"/>
      <c s="50"/>
      <c s="42"/>
      <c r="CA3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32" spans="1:138" s="43" customFormat="1" ht="6" customHeight="1">
      <c r="A32" s="40"/>
      <c s="41"/>
      <c s="40"/>
      <c s="40"/>
      <c s="40"/>
      <c s="13"/>
      <c s="39"/>
      <c s="39"/>
      <c s="39"/>
      <c s="13"/>
      <c s="39"/>
      <c s="40"/>
      <c s="40"/>
      <c s="13"/>
      <c s="40"/>
      <c s="39"/>
      <c s="39"/>
      <c s="14"/>
      <c s="109"/>
      <c s="40"/>
      <c s="40"/>
      <c s="13"/>
      <c s="39"/>
      <c s="39"/>
      <c s="39"/>
      <c s="13"/>
      <c s="39"/>
      <c s="40"/>
      <c s="40"/>
      <c s="13"/>
      <c s="40"/>
      <c s="39"/>
      <c s="39"/>
      <c s="14"/>
      <c s="50"/>
      <c s="42"/>
      <c r="CA3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33" spans="1:138" s="43" customFormat="1" ht="12" customHeight="1">
      <c r="A33" s="40"/>
      <c s="41"/>
      <c s="40"/>
      <c s="161" t="str">
        <f>Picture!D33</f>
        <v>23.2% (-2.1pts)</v>
      </c>
      <c s="162"/>
      <c s="163"/>
      <c s="39"/>
      <c s="161" t="str">
        <f>Picture!H33</f>
        <v>16.1% (+0.4pts)</v>
      </c>
      <c s="162"/>
      <c s="163"/>
      <c s="4"/>
      <c s="161" t="str">
        <f>Picture!L33</f>
        <v>15.5% (+2.0pts)</v>
      </c>
      <c s="162"/>
      <c s="163"/>
      <c r="P33" s="161" t="str">
        <f>Picture!P33</f>
        <v>13.9% (-0.7pts)</v>
      </c>
      <c s="162"/>
      <c s="163"/>
      <c s="109"/>
      <c s="137" t="str">
        <f>Picture!T33</f>
        <v>33.8% (-1.8pts)</v>
      </c>
      <c s="138"/>
      <c s="139"/>
      <c s="39"/>
      <c s="137" t="str">
        <f>Picture!X33</f>
        <v>23.6% (+0.4pts)</v>
      </c>
      <c s="138"/>
      <c s="139"/>
      <c s="4"/>
      <c s="137" t="str">
        <f>Picture!AB33</f>
        <v>23.5% (+1.5pts)</v>
      </c>
      <c s="138"/>
      <c s="139"/>
      <c r="AF33" s="137" t="str">
        <f>Picture!AF33</f>
        <v>19.1% (-0.1pts)</v>
      </c>
      <c s="138"/>
      <c s="139"/>
      <c s="50"/>
      <c s="42"/>
      <c r="CA3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34" spans="1:138" s="43" customFormat="1" ht="47.25" customHeight="1">
      <c r="A34" s="40"/>
      <c s="41"/>
      <c s="40"/>
      <c s="197" t="str">
        <f>Picture!D34</f>
        <v>AISLE-LAUNDRY $ Leaked to GroceryX ($181.2MM)</v>
      </c>
      <c s="198"/>
      <c s="199"/>
      <c s="39"/>
      <c s="197" t="str">
        <f>Picture!H34</f>
        <v>AISLE-LAUNDRY $ Leaked to Club ($125.4MM)</v>
      </c>
      <c s="198"/>
      <c s="199"/>
      <c s="39"/>
      <c s="197" t="str">
        <f>Picture!L34</f>
        <v>AISLE-LAUNDRY $ Leaked to Walmart Total ($120.7MM)</v>
      </c>
      <c s="198"/>
      <c s="199"/>
      <c r="P34" s="197" t="str">
        <f>Picture!P34</f>
        <v>AISLE-LAUNDRY $ Leaked to Other Channels ($108.8MM)</v>
      </c>
      <c s="198"/>
      <c s="199"/>
      <c s="109"/>
      <c s="170" t="str">
        <f>Picture!T34</f>
        <v>AISLE-LAUNDRY $ Leaked to GroceryX ($610.4MM)</v>
      </c>
      <c s="171"/>
      <c s="172"/>
      <c s="39"/>
      <c s="170" t="str">
        <f>Picture!X34</f>
        <v>AISLE-LAUNDRY $ Leaked to Club ($425.4MM)</v>
      </c>
      <c s="171"/>
      <c s="172"/>
      <c s="39"/>
      <c s="170" t="str">
        <f>Picture!AB34</f>
        <v>AISLE-LAUNDRY $ Leaked to Walmart Total ($425.0MM)</v>
      </c>
      <c s="171"/>
      <c s="172"/>
      <c r="AF34" s="170" t="str">
        <f>Picture!AF34</f>
        <v>AISLE-LAUNDRY $ Leaked to Other Channels ($344.6MM)</v>
      </c>
      <c s="171"/>
      <c s="172"/>
      <c s="50"/>
      <c s="42"/>
      <c r="AL34" s="111"/>
      <c r="CA3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35" spans="1:138" s="43" customFormat="1" ht="7.5" customHeight="1">
      <c r="A35" s="40"/>
      <c s="41"/>
      <c s="40"/>
      <c s="40"/>
      <c s="40"/>
      <c s="39"/>
      <c s="39"/>
      <c s="39"/>
      <c s="39"/>
      <c s="39"/>
      <c s="39"/>
      <c s="40"/>
      <c s="40"/>
      <c s="40"/>
      <c s="40"/>
      <c s="39"/>
      <c s="39"/>
      <c s="40"/>
      <c s="109"/>
      <c s="40"/>
      <c s="40"/>
      <c s="39"/>
      <c s="39"/>
      <c s="39"/>
      <c s="39"/>
      <c s="39"/>
      <c s="39"/>
      <c s="40"/>
      <c s="40"/>
      <c s="40"/>
      <c s="40"/>
      <c s="39"/>
      <c s="39"/>
      <c s="40"/>
      <c s="50"/>
      <c s="42"/>
      <c r="AL35" s="103"/>
      <c r="CA3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36" spans="1:138" s="43" customFormat="1" ht="11.25" customHeight="1">
      <c r="A36" s="40"/>
      <c s="41"/>
      <c s="40"/>
      <c s="88" t="str">
        <f>Picture!D36</f>
        <v>2.9%</v>
      </c>
      <c s="140" t="str">
        <f>Picture!E36</f>
        <v>Kroger</v>
      </c>
      <c s="140"/>
      <c s="16"/>
      <c s="88" t="str">
        <f>Picture!H36</f>
        <v>8.1%</v>
      </c>
      <c s="140" t="str">
        <f>Picture!I36</f>
        <v>Costco</v>
      </c>
      <c s="140"/>
      <c s="17"/>
      <c s="88" t="str">
        <f>Picture!L36</f>
        <v>12.1%</v>
      </c>
      <c s="140" t="str">
        <f>Picture!M36</f>
        <v>Walmart Supercenter</v>
      </c>
      <c s="140"/>
      <c s="17"/>
      <c s="88" t="str">
        <f>Picture!P36</f>
        <v>3.3%</v>
      </c>
      <c s="140" t="str">
        <f>Picture!Q36</f>
        <v>CVS</v>
      </c>
      <c s="140"/>
      <c s="61"/>
      <c s="88" t="str">
        <f>Picture!T36</f>
        <v>4.6%</v>
      </c>
      <c s="140" t="str">
        <f>Picture!U36</f>
        <v>Kroger</v>
      </c>
      <c s="140"/>
      <c s="16"/>
      <c s="88" t="str">
        <f>Picture!X36</f>
        <v>10.8%</v>
      </c>
      <c s="140" t="str">
        <f>Picture!Y36</f>
        <v>Costco</v>
      </c>
      <c s="140"/>
      <c s="18"/>
      <c s="88" t="str">
        <f>Picture!AB36</f>
        <v>19.6%</v>
      </c>
      <c s="140" t="str">
        <f>Picture!AC36</f>
        <v>Walmart Supercenter</v>
      </c>
      <c s="140"/>
      <c s="18"/>
      <c s="88" t="str">
        <f>Picture!AF36</f>
        <v>2.7%</v>
      </c>
      <c s="140" t="str">
        <f>Picture!AG36</f>
        <v>CVS</v>
      </c>
      <c s="140"/>
      <c s="50"/>
      <c s="42"/>
      <c r="AL36" s="104"/>
      <c r="CA3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37" spans="1:138" s="43" customFormat="1" ht="11.25" customHeight="1">
      <c r="A37" s="40"/>
      <c s="41"/>
      <c s="40"/>
      <c s="86" t="str">
        <f>Picture!D37</f>
        <v>+0.3pts</v>
      </c>
      <c s="140"/>
      <c s="140"/>
      <c s="16"/>
      <c s="86" t="str">
        <f>Picture!H37</f>
        <v>+0.3pts</v>
      </c>
      <c s="140"/>
      <c s="140"/>
      <c s="17"/>
      <c s="86" t="str">
        <f>Picture!L37</f>
        <v>+1.4pts</v>
      </c>
      <c s="140"/>
      <c s="140"/>
      <c s="17"/>
      <c s="86" t="str">
        <f>Picture!P37</f>
        <v>-0.6pts</v>
      </c>
      <c s="140"/>
      <c s="140"/>
      <c s="61"/>
      <c s="86" t="str">
        <f>Picture!T37</f>
        <v>+0.3pts</v>
      </c>
      <c s="140"/>
      <c s="140"/>
      <c s="16"/>
      <c s="86" t="str">
        <f>Picture!X37</f>
        <v>+0.0pts</v>
      </c>
      <c s="140"/>
      <c s="140"/>
      <c s="18"/>
      <c s="86" t="str">
        <f>Picture!AB37</f>
        <v>+0.7pts</v>
      </c>
      <c s="140"/>
      <c s="140"/>
      <c s="18"/>
      <c s="86" t="str">
        <f>Picture!AF37</f>
        <v>-0.2pts</v>
      </c>
      <c s="140"/>
      <c s="140"/>
      <c s="50"/>
      <c s="42"/>
      <c r="AL37" s="104"/>
      <c r="CA3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38" spans="1:138" s="43" customFormat="1" ht="11.25" customHeight="1">
      <c r="A38" s="40"/>
      <c s="41"/>
      <c s="40"/>
      <c s="87" t="str">
        <f>Picture!D38</f>
        <v>$22.9MM</v>
      </c>
      <c s="140"/>
      <c s="140"/>
      <c s="16"/>
      <c s="87" t="str">
        <f>Picture!H38</f>
        <v>$63.1MM</v>
      </c>
      <c s="140"/>
      <c s="140"/>
      <c s="17"/>
      <c s="87" t="str">
        <f>Picture!L38</f>
        <v>$94.7MM</v>
      </c>
      <c s="140"/>
      <c s="140"/>
      <c s="17"/>
      <c s="87" t="str">
        <f>Picture!P38</f>
        <v>$25.8MM</v>
      </c>
      <c s="140"/>
      <c s="140"/>
      <c s="61"/>
      <c s="87" t="str">
        <f>Picture!T38</f>
        <v>$83.2MM</v>
      </c>
      <c s="140"/>
      <c s="140"/>
      <c s="16"/>
      <c s="87" t="str">
        <f>Picture!X38</f>
        <v>$194.2MM</v>
      </c>
      <c s="140"/>
      <c s="140"/>
      <c s="18"/>
      <c s="87" t="str">
        <f>Picture!AB38</f>
        <v>$353.3MM</v>
      </c>
      <c s="140"/>
      <c s="140"/>
      <c s="18"/>
      <c s="87" t="str">
        <f>Picture!AF38</f>
        <v>$49.5MM</v>
      </c>
      <c s="140"/>
      <c s="140"/>
      <c s="50"/>
      <c s="42"/>
      <c r="AL38" s="84"/>
      <c r="CA3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row>
    <row r="39" spans="1:138" s="43" customFormat="1" ht="11.25" customHeight="1">
      <c r="A39" s="40"/>
      <c s="41"/>
      <c s="40"/>
      <c s="88" t="str">
        <f>Picture!D39</f>
        <v>2.0%</v>
      </c>
      <c s="140" t="str">
        <f>Picture!E39</f>
        <v>Publix</v>
      </c>
      <c s="140"/>
      <c s="16"/>
      <c s="88" t="str">
        <f>Picture!H39</f>
        <v>5.0%</v>
      </c>
      <c s="140" t="str">
        <f>Picture!I39</f>
        <v>Sams Club</v>
      </c>
      <c s="140"/>
      <c s="17"/>
      <c s="88" t="str">
        <f>Picture!L39</f>
        <v>2.5%</v>
      </c>
      <c s="140" t="str">
        <f>Picture!M39</f>
        <v>Walmart Division 1</v>
      </c>
      <c s="140"/>
      <c s="17"/>
      <c s="88" t="str">
        <f>Picture!P39</f>
        <v>1.8%</v>
      </c>
      <c s="140" t="str">
        <f>Picture!Q39</f>
        <v>Walgreens</v>
      </c>
      <c s="140"/>
      <c s="61"/>
      <c s="88" t="str">
        <f>Picture!T39</f>
        <v>2.8%</v>
      </c>
      <c s="140" t="str">
        <f>Picture!U39</f>
        <v>Shop Rite</v>
      </c>
      <c s="140"/>
      <c s="16"/>
      <c s="88" t="str">
        <f>Picture!X39</f>
        <v>8.6%</v>
      </c>
      <c s="140" t="str">
        <f>Picture!Y39</f>
        <v>Sams Club</v>
      </c>
      <c s="140"/>
      <c s="18"/>
      <c s="88" t="str">
        <f>Picture!AB39</f>
        <v>2.8%</v>
      </c>
      <c s="140" t="str">
        <f>Picture!AC39</f>
        <v>Walmart Division 1</v>
      </c>
      <c s="140"/>
      <c s="18"/>
      <c s="88" t="str">
        <f>Picture!AF39</f>
        <v>2.5%</v>
      </c>
      <c s="140" t="str">
        <f>Picture!AG39</f>
        <v>Doll Gen / Doll Gen Mkt</v>
      </c>
      <c s="140"/>
      <c s="50"/>
      <c s="42"/>
      <c r="CA3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40" spans="1:138" s="43" customFormat="1" ht="11.25" customHeight="1">
      <c r="A40" s="40"/>
      <c s="41"/>
      <c s="40"/>
      <c s="86" t="str">
        <f>Picture!D40</f>
        <v>+0.0pts</v>
      </c>
      <c s="140"/>
      <c s="140"/>
      <c s="16"/>
      <c s="86" t="str">
        <f>Picture!H40</f>
        <v>-0.6pts</v>
      </c>
      <c s="140"/>
      <c s="140"/>
      <c s="17"/>
      <c s="86" t="str">
        <f>Picture!L40</f>
        <v>+0.3pts</v>
      </c>
      <c s="140"/>
      <c s="140"/>
      <c s="17"/>
      <c s="86" t="str">
        <f>Picture!P40</f>
        <v>-0.3pts</v>
      </c>
      <c s="140"/>
      <c s="140"/>
      <c s="61"/>
      <c s="86" t="str">
        <f>Picture!T40</f>
        <v>-0.4pts</v>
      </c>
      <c s="140"/>
      <c s="140"/>
      <c s="16"/>
      <c s="86" t="str">
        <f>Picture!X40</f>
        <v>+0.1pts</v>
      </c>
      <c s="140"/>
      <c s="140"/>
      <c s="18"/>
      <c s="86" t="str">
        <f>Picture!AB40</f>
        <v>+0.6pts</v>
      </c>
      <c s="140"/>
      <c s="140"/>
      <c s="18"/>
      <c s="86" t="str">
        <f>Picture!AF40</f>
        <v>-0.1pts</v>
      </c>
      <c s="140"/>
      <c s="140"/>
      <c s="50"/>
      <c s="42"/>
      <c r="CA4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41" spans="1:138" s="43" customFormat="1" ht="11.25" customHeight="1">
      <c r="A41" s="40"/>
      <c s="41"/>
      <c s="40"/>
      <c s="87" t="str">
        <f>Picture!D41</f>
        <v>$15.4MM</v>
      </c>
      <c s="140"/>
      <c s="140"/>
      <c s="16"/>
      <c s="87" t="str">
        <f>Picture!H41</f>
        <v>$38.8MM</v>
      </c>
      <c s="140"/>
      <c s="140"/>
      <c s="17"/>
      <c s="87" t="str">
        <f>Picture!L41</f>
        <v>$19.7MM</v>
      </c>
      <c s="140"/>
      <c s="140"/>
      <c s="17"/>
      <c s="87" t="str">
        <f>Picture!P41</f>
        <v>$14.2MM</v>
      </c>
      <c s="140"/>
      <c s="140"/>
      <c s="61"/>
      <c s="87" t="str">
        <f>Picture!T41</f>
        <v>$49.9MM</v>
      </c>
      <c s="140"/>
      <c s="140"/>
      <c s="16"/>
      <c s="87" t="str">
        <f>Picture!X41</f>
        <v>$155.7MM</v>
      </c>
      <c s="140"/>
      <c s="140"/>
      <c s="18"/>
      <c s="87" t="str">
        <f>Picture!AB41</f>
        <v>$51.4MM</v>
      </c>
      <c s="140"/>
      <c s="140"/>
      <c s="18"/>
      <c s="87" t="str">
        <f>Picture!AF41</f>
        <v>$44.8MM</v>
      </c>
      <c s="140"/>
      <c s="140"/>
      <c s="50"/>
      <c s="42"/>
      <c r="CA4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row>
    <row r="42" spans="1:138" s="43" customFormat="1" ht="11.25" customHeight="1">
      <c r="A42" s="40"/>
      <c s="41"/>
      <c s="40"/>
      <c s="88" t="str">
        <f>Picture!D42</f>
        <v>1.1%</v>
      </c>
      <c s="140" t="str">
        <f>Picture!E42</f>
        <v>Shop Rite</v>
      </c>
      <c s="140"/>
      <c s="16"/>
      <c s="88" t="str">
        <f>Picture!H42</f>
        <v>2.9%</v>
      </c>
      <c s="140" t="str">
        <f>Picture!I42</f>
        <v>BJs Wholesale</v>
      </c>
      <c s="140"/>
      <c s="17"/>
      <c s="88" t="str">
        <f>Picture!L42</f>
        <v>0.8%</v>
      </c>
      <c s="140" t="str">
        <f>Picture!M42</f>
        <v>Walmart Neighborhood Market</v>
      </c>
      <c s="140"/>
      <c s="17"/>
      <c s="88" t="str">
        <f>Picture!P42</f>
        <v>1.4%</v>
      </c>
      <c s="140" t="str">
        <f>Picture!Q42</f>
        <v>Doll Gen / Doll Gen Mkt</v>
      </c>
      <c s="140"/>
      <c s="61"/>
      <c s="88" t="str">
        <f>Picture!T42</f>
        <v>2.2%</v>
      </c>
      <c s="140" t="str">
        <f>Picture!U42</f>
        <v>Meijer</v>
      </c>
      <c s="140"/>
      <c s="16"/>
      <c s="88" t="str">
        <f>Picture!X42</f>
        <v>4.1%</v>
      </c>
      <c s="140" t="str">
        <f>Picture!Y42</f>
        <v>BJs Wholesale</v>
      </c>
      <c s="140"/>
      <c s="18"/>
      <c s="88" t="str">
        <f>Picture!AB42</f>
        <v>1.1%</v>
      </c>
      <c s="140" t="str">
        <f>Picture!AC42</f>
        <v>Walmart Neighborhood Market</v>
      </c>
      <c s="140"/>
      <c s="18"/>
      <c s="88" t="str">
        <f>Picture!AF42</f>
        <v>2.1%</v>
      </c>
      <c s="140" t="str">
        <f>Picture!AG42</f>
        <v>Walgreens</v>
      </c>
      <c s="140"/>
      <c s="50"/>
      <c s="42"/>
      <c r="CA4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43" spans="1:138" s="43" customFormat="1" ht="11.25" customHeight="1">
      <c r="A43" s="40"/>
      <c s="41"/>
      <c s="40"/>
      <c s="86" t="str">
        <f>Picture!D43</f>
        <v>-0.2pts</v>
      </c>
      <c s="140"/>
      <c s="140"/>
      <c s="16"/>
      <c s="86" t="str">
        <f>Picture!H43</f>
        <v>+0.7pts</v>
      </c>
      <c s="140"/>
      <c s="140"/>
      <c s="17"/>
      <c s="86" t="str">
        <f>Picture!L43</f>
        <v>+0.3pts</v>
      </c>
      <c s="140"/>
      <c s="140"/>
      <c s="17"/>
      <c s="86" t="str">
        <f>Picture!P43</f>
        <v>+0.0pts</v>
      </c>
      <c s="140"/>
      <c s="140"/>
      <c s="61"/>
      <c s="86" t="str">
        <f>Picture!T43</f>
        <v>+0.2pts</v>
      </c>
      <c s="140"/>
      <c s="140"/>
      <c s="16"/>
      <c s="86" t="str">
        <f>Picture!X43</f>
        <v>+0.3pts</v>
      </c>
      <c s="140"/>
      <c s="140"/>
      <c s="18"/>
      <c s="86" t="str">
        <f>Picture!AB43</f>
        <v>+0.3pts</v>
      </c>
      <c s="140"/>
      <c s="140"/>
      <c s="18"/>
      <c s="86" t="str">
        <f>Picture!AF43</f>
        <v>+0.2pts</v>
      </c>
      <c s="140"/>
      <c s="140"/>
      <c s="50"/>
      <c s="42"/>
      <c r="CA4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44" spans="1:138" s="43" customFormat="1" ht="11.25" customHeight="1">
      <c r="A44" s="40"/>
      <c s="41"/>
      <c s="40"/>
      <c s="87" t="str">
        <f>Picture!D44</f>
        <v>$8.9MM</v>
      </c>
      <c s="140"/>
      <c s="140"/>
      <c s="16"/>
      <c s="87" t="str">
        <f>Picture!H44</f>
        <v>$22.7MM</v>
      </c>
      <c s="140"/>
      <c s="140"/>
      <c s="17"/>
      <c s="87" t="str">
        <f>Picture!L44</f>
        <v>$6.3MM</v>
      </c>
      <c s="140"/>
      <c s="140"/>
      <c s="17"/>
      <c s="87" t="str">
        <f>Picture!P44</f>
        <v>$11.3MM</v>
      </c>
      <c s="140"/>
      <c s="140"/>
      <c s="61"/>
      <c s="87" t="str">
        <f>Picture!T44</f>
        <v>$40.0MM</v>
      </c>
      <c s="140"/>
      <c s="140"/>
      <c s="16"/>
      <c s="87" t="str">
        <f>Picture!X44</f>
        <v>$74.1MM</v>
      </c>
      <c s="140"/>
      <c s="140"/>
      <c s="18"/>
      <c s="87" t="str">
        <f>Picture!AB44</f>
        <v>$20.3MM</v>
      </c>
      <c s="140"/>
      <c s="140"/>
      <c s="18"/>
      <c s="87" t="str">
        <f>Picture!AF44</f>
        <v>$38.6MM</v>
      </c>
      <c s="140"/>
      <c s="140"/>
      <c s="50"/>
      <c s="42"/>
      <c r="CA4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row>
    <row r="45" spans="1:138" s="43" customFormat="1" ht="11.25" customHeight="1">
      <c r="A45" s="40"/>
      <c s="41"/>
      <c s="40"/>
      <c s="88" t="str">
        <f>Picture!D45</f>
        <v>0.9%</v>
      </c>
      <c s="140" t="str">
        <f>Picture!E45</f>
        <v>Meijer</v>
      </c>
      <c s="140"/>
      <c s="16"/>
      <c s="88">
        <f>Picture!H45</f>
      </c>
      <c s="140">
        <f>Picture!I45</f>
      </c>
      <c s="140"/>
      <c s="17"/>
      <c s="88">
        <f>Picture!L45</f>
      </c>
      <c s="140">
        <f>Picture!M45</f>
      </c>
      <c s="140"/>
      <c s="17"/>
      <c s="88" t="str">
        <f>Picture!P45</f>
        <v>1.0%</v>
      </c>
      <c s="140" t="str">
        <f>Picture!Q45</f>
        <v>Family Dollar</v>
      </c>
      <c s="140"/>
      <c s="61"/>
      <c s="88" t="str">
        <f>Picture!T45</f>
        <v>2.0%</v>
      </c>
      <c s="140" t="str">
        <f>Picture!U45</f>
        <v>Publix</v>
      </c>
      <c s="140"/>
      <c s="16"/>
      <c s="88">
        <f>Picture!X45</f>
      </c>
      <c s="140">
        <f>Picture!Y45</f>
      </c>
      <c s="140"/>
      <c s="18"/>
      <c s="88">
        <f>Picture!AB45</f>
      </c>
      <c s="140">
        <f>Picture!AC45</f>
      </c>
      <c s="140"/>
      <c s="18"/>
      <c s="88" t="str">
        <f>Picture!AF45</f>
        <v>1.8%</v>
      </c>
      <c s="140" t="str">
        <f>Picture!AG45</f>
        <v>Family Dollar</v>
      </c>
      <c s="140"/>
      <c s="50"/>
      <c s="42"/>
      <c r="CA4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46" spans="1:138" s="43" customFormat="1" ht="11.25" customHeight="1">
      <c r="A46" s="40"/>
      <c s="41"/>
      <c s="40"/>
      <c s="86" t="str">
        <f>Picture!D46</f>
        <v>-0.1pts</v>
      </c>
      <c s="140"/>
      <c s="140"/>
      <c s="16"/>
      <c s="86">
        <f>Picture!H46</f>
      </c>
      <c s="140"/>
      <c s="140"/>
      <c s="17"/>
      <c s="86">
        <f>Picture!L46</f>
      </c>
      <c s="140"/>
      <c s="140"/>
      <c s="17"/>
      <c s="86" t="str">
        <f>Picture!P46</f>
        <v>+0.0pts</v>
      </c>
      <c s="140"/>
      <c s="140"/>
      <c s="61"/>
      <c s="86" t="str">
        <f>Picture!T46</f>
        <v>-0.4pts</v>
      </c>
      <c s="140"/>
      <c s="140"/>
      <c s="16"/>
      <c s="86">
        <f>Picture!X46</f>
      </c>
      <c s="140"/>
      <c s="140"/>
      <c s="18"/>
      <c s="86">
        <f>Picture!AB46</f>
      </c>
      <c s="140"/>
      <c s="140"/>
      <c s="18"/>
      <c s="86" t="str">
        <f>Picture!AF46</f>
        <v>+0.1pts</v>
      </c>
      <c s="140"/>
      <c s="140"/>
      <c s="50"/>
      <c s="42"/>
      <c r="CA4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47" spans="1:138" s="43" customFormat="1" ht="11.25" customHeight="1">
      <c r="A47" s="40"/>
      <c s="41"/>
      <c s="40"/>
      <c s="87" t="str">
        <f>Picture!D47</f>
        <v>$7.4MM</v>
      </c>
      <c s="140"/>
      <c s="140"/>
      <c s="16"/>
      <c s="87">
        <f>Picture!H47</f>
      </c>
      <c s="140"/>
      <c s="140"/>
      <c s="17"/>
      <c s="87">
        <f>Picture!L47</f>
      </c>
      <c s="140"/>
      <c s="140"/>
      <c s="17"/>
      <c s="87" t="str">
        <f>Picture!P47</f>
        <v>$7.6MM</v>
      </c>
      <c s="140"/>
      <c s="140"/>
      <c s="61"/>
      <c s="87" t="str">
        <f>Picture!T47</f>
        <v>$36.9MM</v>
      </c>
      <c s="140"/>
      <c s="140"/>
      <c s="16"/>
      <c s="87">
        <f>Picture!X47</f>
      </c>
      <c s="140"/>
      <c s="140"/>
      <c s="18"/>
      <c s="87">
        <f>Picture!AB47</f>
      </c>
      <c s="140"/>
      <c s="140"/>
      <c s="18"/>
      <c s="87" t="str">
        <f>Picture!AF47</f>
        <v>$32.8MM</v>
      </c>
      <c s="140"/>
      <c s="140"/>
      <c s="50"/>
      <c s="42"/>
      <c r="CA4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row>
    <row r="48" spans="1:138" s="43" customFormat="1" ht="11.25" customHeight="1">
      <c r="A48" s="40"/>
      <c s="41"/>
      <c s="40"/>
      <c s="88" t="str">
        <f>Picture!D48</f>
        <v>0.7%</v>
      </c>
      <c s="140" t="str">
        <f>Picture!E48</f>
        <v>Safeway</v>
      </c>
      <c s="140"/>
      <c s="16"/>
      <c s="88">
        <f>Picture!H48</f>
      </c>
      <c s="140">
        <f>Picture!I48</f>
      </c>
      <c s="140"/>
      <c s="17"/>
      <c s="88">
        <f>Picture!L48</f>
      </c>
      <c s="140">
        <f>Picture!M48</f>
      </c>
      <c s="140"/>
      <c s="17"/>
      <c s="88" t="str">
        <f>Picture!P48</f>
        <v>0.8%</v>
      </c>
      <c s="140" t="str">
        <f>Picture!Q48</f>
        <v>Rite Aid</v>
      </c>
      <c s="140"/>
      <c s="61"/>
      <c s="88" t="str">
        <f>Picture!T48</f>
        <v>1.6%</v>
      </c>
      <c s="140" t="str">
        <f>Picture!U48</f>
        <v>HEB</v>
      </c>
      <c s="140"/>
      <c s="16"/>
      <c s="88">
        <f>Picture!X48</f>
      </c>
      <c s="140">
        <f>Picture!Y48</f>
      </c>
      <c s="140"/>
      <c s="18"/>
      <c s="88">
        <f>Picture!AB48</f>
      </c>
      <c s="140">
        <f>Picture!AC48</f>
      </c>
      <c s="140"/>
      <c s="18"/>
      <c s="88" t="str">
        <f>Picture!AF48</f>
        <v>1.4%</v>
      </c>
      <c s="140" t="str">
        <f>Picture!AG48</f>
        <v>Dollar Tree</v>
      </c>
      <c s="140"/>
      <c s="50"/>
      <c s="42"/>
      <c r="CA4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49" spans="1:138" s="43" customFormat="1" ht="11.25" customHeight="1">
      <c r="A49" s="40"/>
      <c s="41"/>
      <c s="40"/>
      <c s="86" t="str">
        <f>Picture!D49</f>
        <v>-0.3pts</v>
      </c>
      <c s="140"/>
      <c s="140"/>
      <c s="16"/>
      <c s="86">
        <f>Picture!H49</f>
      </c>
      <c s="140"/>
      <c s="140"/>
      <c s="17"/>
      <c s="86">
        <f>Picture!L49</f>
      </c>
      <c s="140"/>
      <c s="140"/>
      <c s="17"/>
      <c s="86" t="str">
        <f>Picture!P49</f>
        <v>0.0pts</v>
      </c>
      <c s="140"/>
      <c s="140"/>
      <c s="61"/>
      <c s="86" t="str">
        <f>Picture!T49</f>
        <v>+0.4pts</v>
      </c>
      <c s="140"/>
      <c s="140"/>
      <c s="16"/>
      <c s="86">
        <f>Picture!X49</f>
      </c>
      <c s="140"/>
      <c s="140"/>
      <c s="18"/>
      <c s="86">
        <f>Picture!AB49</f>
      </c>
      <c s="140"/>
      <c s="140"/>
      <c s="18"/>
      <c s="86" t="str">
        <f>Picture!AF49</f>
        <v>-0.1pts</v>
      </c>
      <c s="140"/>
      <c s="140"/>
      <c s="50"/>
      <c s="42"/>
      <c r="CA4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50" spans="1:138" s="43" customFormat="1" ht="11.25" customHeight="1">
      <c r="A50" s="40"/>
      <c s="41"/>
      <c s="40"/>
      <c s="87" t="str">
        <f>Picture!D50</f>
        <v>$5.6MM</v>
      </c>
      <c s="140"/>
      <c s="140"/>
      <c s="16"/>
      <c s="87">
        <f>Picture!H50</f>
      </c>
      <c s="140"/>
      <c s="140"/>
      <c s="17"/>
      <c s="87">
        <f>Picture!L50</f>
      </c>
      <c s="140"/>
      <c s="140"/>
      <c s="17"/>
      <c s="87" t="str">
        <f>Picture!P50</f>
        <v>$6.2MM</v>
      </c>
      <c s="140"/>
      <c s="140"/>
      <c s="61"/>
      <c s="87" t="str">
        <f>Picture!T50</f>
        <v>$29.6MM</v>
      </c>
      <c s="140"/>
      <c s="140"/>
      <c s="16"/>
      <c s="87">
        <f>Picture!X50</f>
      </c>
      <c s="140"/>
      <c s="140"/>
      <c s="18"/>
      <c s="87">
        <f>Picture!AB50</f>
      </c>
      <c s="140"/>
      <c s="140"/>
      <c s="18"/>
      <c s="87" t="str">
        <f>Picture!AF50</f>
        <v>$26.0MM</v>
      </c>
      <c s="140"/>
      <c s="140"/>
      <c s="50"/>
      <c s="42"/>
      <c r="CA5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row>
    <row r="51" spans="1:138" s="43" customFormat="1" ht="11.25" customHeight="1">
      <c r="A51" s="40"/>
      <c s="41"/>
      <c s="40"/>
      <c s="88" t="str">
        <f>Picture!D51</f>
        <v>0.7%</v>
      </c>
      <c s="140" t="str">
        <f>Picture!E51</f>
        <v>HEB</v>
      </c>
      <c s="140"/>
      <c s="16"/>
      <c s="88">
        <f>Picture!H51</f>
      </c>
      <c s="140">
        <f>Picture!I51</f>
      </c>
      <c s="140"/>
      <c s="17"/>
      <c s="88">
        <f>Picture!L51</f>
      </c>
      <c s="140">
        <f>Picture!M51</f>
      </c>
      <c s="140"/>
      <c s="17"/>
      <c s="88" t="str">
        <f>Picture!P51</f>
        <v>0.8%</v>
      </c>
      <c s="140" t="str">
        <f>Picture!Q51</f>
        <v>Big Lots</v>
      </c>
      <c s="140"/>
      <c s="61"/>
      <c s="88" t="str">
        <f>Picture!T51</f>
        <v>1.1%</v>
      </c>
      <c s="140" t="str">
        <f>Picture!U51</f>
        <v>Stop &amp; Shop</v>
      </c>
      <c s="140"/>
      <c s="16"/>
      <c s="88">
        <f>Picture!X51</f>
      </c>
      <c s="140">
        <f>Picture!Y51</f>
      </c>
      <c s="140"/>
      <c s="18"/>
      <c s="88">
        <f>Picture!AB51</f>
      </c>
      <c s="140">
        <f>Picture!AC51</f>
      </c>
      <c s="140"/>
      <c s="18"/>
      <c s="88" t="str">
        <f>Picture!AF51</f>
        <v>1.3%</v>
      </c>
      <c s="140" t="str">
        <f>Picture!AG51</f>
        <v>DeCA Commissary</v>
      </c>
      <c s="140"/>
      <c s="50"/>
      <c s="42"/>
      <c r="CA5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52" spans="1:138" s="43" customFormat="1" ht="11.25" customHeight="1">
      <c r="A52" s="40"/>
      <c s="41"/>
      <c s="40"/>
      <c s="86" t="str">
        <f>Picture!D52</f>
        <v>-0.3pts</v>
      </c>
      <c s="140"/>
      <c s="140"/>
      <c s="16"/>
      <c s="86">
        <f>Picture!H52</f>
      </c>
      <c s="140"/>
      <c s="140"/>
      <c s="17"/>
      <c s="86">
        <f>Picture!L52</f>
      </c>
      <c s="140"/>
      <c s="140"/>
      <c s="17"/>
      <c s="86" t="str">
        <f>Picture!P52</f>
        <v>+0.1pts</v>
      </c>
      <c s="140"/>
      <c s="140"/>
      <c s="61"/>
      <c s="86" t="str">
        <f>Picture!T52</f>
        <v>-0.2pts</v>
      </c>
      <c s="140"/>
      <c s="140"/>
      <c s="16"/>
      <c s="86">
        <f>Picture!X52</f>
      </c>
      <c s="140"/>
      <c s="140"/>
      <c s="18"/>
      <c s="86">
        <f>Picture!AB52</f>
      </c>
      <c s="140"/>
      <c s="140"/>
      <c s="18"/>
      <c s="86" t="str">
        <f>Picture!AF52</f>
        <v>0.0pts</v>
      </c>
      <c s="140"/>
      <c s="140"/>
      <c s="50"/>
      <c s="42"/>
      <c r="CA5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53" spans="1:138" s="43" customFormat="1" ht="11.25" customHeight="1">
      <c r="A53" s="40"/>
      <c s="41"/>
      <c s="40"/>
      <c s="87" t="str">
        <f>Picture!D53</f>
        <v>$5.6MM</v>
      </c>
      <c s="140"/>
      <c s="140"/>
      <c s="16"/>
      <c s="87">
        <f>Picture!H53</f>
      </c>
      <c s="140"/>
      <c s="140"/>
      <c s="17"/>
      <c s="87">
        <f>Picture!L53</f>
      </c>
      <c s="140"/>
      <c s="140"/>
      <c s="17"/>
      <c s="87" t="str">
        <f>Picture!P53</f>
        <v>$6.0MM</v>
      </c>
      <c s="140"/>
      <c s="140"/>
      <c s="61"/>
      <c s="87" t="str">
        <f>Picture!T53</f>
        <v>$19.4MM</v>
      </c>
      <c s="140"/>
      <c s="140"/>
      <c s="16"/>
      <c s="87">
        <f>Picture!X53</f>
      </c>
      <c s="140"/>
      <c s="140"/>
      <c s="18"/>
      <c s="87">
        <f>Picture!AB53</f>
      </c>
      <c s="140"/>
      <c s="140"/>
      <c s="18"/>
      <c s="87" t="str">
        <f>Picture!AF53</f>
        <v>$23.0MM</v>
      </c>
      <c s="140"/>
      <c s="140"/>
      <c s="50"/>
      <c s="42"/>
      <c r="CA5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row>
    <row r="54" spans="1:138" ht="7.5" customHeight="1">
      <c r="A54" s="21"/>
      <c s="25"/>
      <c s="21"/>
      <c s="21"/>
      <c s="21"/>
      <c s="21"/>
      <c s="21"/>
      <c s="21"/>
      <c s="21"/>
      <c s="21"/>
      <c s="21"/>
      <c s="21"/>
      <c s="21"/>
      <c s="21"/>
      <c s="21"/>
      <c s="21"/>
      <c s="21"/>
      <c s="21"/>
      <c r="AI54" s="50"/>
      <c s="26"/>
      <c r="CA5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55" spans="1:138" ht="1.5" customHeight="1">
      <c r="A55" s="21"/>
      <c s="62"/>
      <c s="63"/>
      <c s="63"/>
      <c s="63"/>
      <c s="63"/>
      <c s="63"/>
      <c s="63"/>
      <c s="63"/>
      <c s="63"/>
      <c s="63"/>
      <c s="63"/>
      <c s="63"/>
      <c s="63"/>
      <c s="63"/>
      <c s="63"/>
      <c s="63"/>
      <c s="63"/>
      <c s="63"/>
      <c s="63"/>
      <c s="63"/>
      <c s="63"/>
      <c s="63"/>
      <c s="63"/>
      <c s="63"/>
      <c s="63"/>
      <c s="63"/>
      <c s="63"/>
      <c s="63"/>
      <c s="63"/>
      <c s="63"/>
      <c s="63"/>
      <c s="63"/>
      <c s="63"/>
      <c s="63"/>
      <c s="64"/>
      <c r="CA5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56" spans="79:138" ht="15">
      <c r="CA5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57" spans="3:138" ht="15">
      <c r="C57" s="205" t="s">
        <v>52</v>
      </c>
      <c s="205"/>
      <c s="205"/>
      <c s="205"/>
      <c s="205"/>
      <c s="205"/>
      <c s="205"/>
      <c s="205"/>
      <c s="205"/>
      <c s="205"/>
      <c s="205"/>
      <c s="205"/>
      <c s="205"/>
      <c s="205"/>
      <c s="205"/>
      <c s="205"/>
      <c s="205"/>
      <c s="205"/>
      <c s="205"/>
      <c s="205"/>
      <c s="205"/>
      <c s="205"/>
      <c s="205"/>
      <c s="205"/>
      <c s="205"/>
      <c s="205"/>
      <c s="205"/>
      <c s="205"/>
      <c s="205"/>
      <c s="205"/>
      <c s="205"/>
      <c s="205"/>
      <c s="205"/>
      <c r="CA5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58" spans="79:138" ht="15">
      <c r="CA5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59" spans="4:138" ht="15">
      <c r="D59" s="79"/>
      <c r="CA5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60" spans="4:138" ht="15">
      <c r="D60" s="78"/>
      <c r="CA6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61" spans="4:138" ht="15">
      <c r="D61" s="78"/>
      <c r="CA6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62" spans="79:138" ht="15">
      <c r="CA6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63" spans="79:138" ht="15">
      <c r="CA6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64" spans="79:138" ht="15">
      <c r="CA6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65" spans="79:138" ht="15">
      <c r="CA6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66" spans="79:138" ht="15">
      <c r="CA6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67" spans="79:138" ht="15">
      <c r="CA6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68" spans="79:138" ht="15">
      <c r="CA6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69" spans="79:138" ht="15">
      <c r="CA6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70" spans="79:138" ht="15">
      <c r="CA7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71" spans="79:138" ht="15">
      <c r="CA7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72" spans="79:138" ht="15">
      <c r="CA7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73" spans="79:138" ht="15">
      <c r="CA7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74" spans="79:138" ht="15">
      <c r="CA7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75" spans="79:138" ht="15">
      <c r="CA7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76" spans="79:138" ht="15">
      <c r="CA7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77" spans="79:138" ht="15">
      <c r="CA7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78" spans="79:138" ht="15">
      <c r="CA7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79" spans="79:138" ht="15">
      <c r="CA7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80" spans="79:138" ht="15">
      <c r="CA8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81" spans="79:138" ht="15">
      <c r="CA8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82" spans="79:138" ht="15">
      <c r="CA8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83" spans="79:138" ht="15">
      <c r="CA8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84" spans="79:138" ht="15">
      <c r="CA8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85" spans="79:138" ht="15">
      <c r="CA8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86" spans="79:138" ht="15">
      <c r="CA8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87" spans="79:138" ht="15">
      <c r="CA8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88" spans="79:138" ht="15">
      <c r="CA8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89" spans="79:138" ht="15">
      <c r="CA8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90" spans="79:138" ht="15">
      <c r="CA9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91" spans="79:138" ht="15">
      <c r="CA9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92" spans="79:138" ht="15">
      <c r="CA9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93" spans="79:138" ht="15">
      <c r="CA9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94" spans="79:138" ht="15">
      <c r="CA9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95" spans="79:138" ht="15">
      <c r="CA9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96" spans="79:138" ht="15">
      <c r="CA9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97" spans="79:138" ht="15">
      <c r="CA9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98" spans="79:138" ht="15">
      <c r="CA9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99" spans="79:138" ht="15">
      <c r="CA9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100" spans="79:138" ht="15">
      <c r="CA10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101" spans="1:138" ht="15">
      <c r="A101" s="20" t="s">
        <v>40</v>
      </c>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20" t="s">
        <v>37</v>
      </c>
      <c s="65"/>
      <c s="65"/>
      <c s="65"/>
      <c s="65"/>
      <c s="65"/>
      <c s="65"/>
      <c s="65"/>
      <c s="65"/>
      <c s="65"/>
      <c s="65"/>
      <c s="65"/>
      <c s="65"/>
      <c s="65"/>
      <c s="65"/>
      <c s="65"/>
      <c s="65"/>
      <c s="65"/>
      <c s="65"/>
      <c s="65"/>
      <c s="65"/>
      <c s="65" t="s">
        <v>48</v>
      </c>
      <c s="65" t="s">
        <v>491</v>
      </c>
      <c s="66" t="s">
        <v>413</v>
      </c>
      <c s="66"/>
      <c s="66"/>
      <c s="66"/>
      <c s="66"/>
      <c s="66"/>
      <c s="66"/>
      <c s="66"/>
      <c s="66"/>
      <c s="66"/>
      <c s="66"/>
      <c s="66"/>
      <c s="66"/>
      <c s="66"/>
      <c s="66"/>
      <c s="66"/>
      <c s="66"/>
      <c s="66"/>
      <c s="66"/>
      <c s="66"/>
      <c s="66"/>
      <c s="66"/>
      <c s="66"/>
      <c s="66"/>
      <c s="66"/>
      <c s="66"/>
      <c s="66"/>
      <c s="66"/>
      <c s="66"/>
      <c s="66"/>
      <c s="66"/>
      <c s="200" t="s">
        <v>51</v>
      </c>
      <c s="200"/>
      <c s="200"/>
      <c s="200"/>
      <c s="200"/>
      <c s="200"/>
    </row>
    <row r="102" spans="1:138" ht="15">
      <c r="A10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65"/>
      <c s="65"/>
      <c s="65"/>
      <c s="65"/>
      <c s="65"/>
      <c s="65"/>
      <c s="65"/>
      <c s="65"/>
      <c s="65"/>
      <c s="65"/>
      <c s="65"/>
      <c s="65"/>
      <c s="65"/>
      <c s="65"/>
      <c s="65"/>
      <c s="65"/>
      <c s="65"/>
      <c s="65"/>
      <c s="65"/>
      <c s="65"/>
      <c s="65" t="s">
        <v>49</v>
      </c>
      <c s="65" t="s">
        <v>408</v>
      </c>
      <c s="66" t="s">
        <v>414</v>
      </c>
      <c s="66"/>
      <c s="66"/>
      <c s="66"/>
      <c s="66"/>
      <c s="66"/>
      <c s="66"/>
      <c s="66"/>
      <c s="66"/>
      <c s="66"/>
      <c s="66"/>
      <c s="66"/>
      <c s="66"/>
      <c s="66"/>
      <c s="66"/>
      <c s="66"/>
      <c s="66"/>
      <c s="66"/>
      <c s="66"/>
      <c s="66"/>
      <c s="66"/>
      <c s="66"/>
      <c s="66"/>
      <c s="66"/>
      <c s="66"/>
      <c s="66"/>
      <c s="66"/>
      <c s="66"/>
      <c s="66"/>
      <c s="66"/>
      <c s="66"/>
      <c s="65"/>
      <c s="65"/>
      <c s="65"/>
      <c s="65"/>
      <c s="65"/>
      <c s="65"/>
    </row>
    <row r="103" spans="1:138" ht="15">
      <c r="A10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65"/>
      <c s="65"/>
      <c s="65"/>
      <c s="65"/>
      <c s="65"/>
      <c s="65"/>
      <c s="65"/>
      <c s="65"/>
      <c s="65"/>
      <c s="65"/>
      <c s="65"/>
      <c s="65"/>
      <c s="65"/>
      <c s="65"/>
      <c s="65"/>
      <c s="65"/>
      <c s="65"/>
      <c s="65"/>
      <c s="65"/>
      <c s="65"/>
      <c s="65"/>
      <c s="65"/>
      <c s="66" t="s">
        <v>415</v>
      </c>
      <c s="66"/>
      <c s="66"/>
      <c s="66"/>
      <c s="66"/>
      <c s="66"/>
      <c s="66"/>
      <c s="66"/>
      <c s="66"/>
      <c s="66"/>
      <c s="66"/>
      <c s="66"/>
      <c s="66"/>
      <c s="66"/>
      <c s="66"/>
      <c s="66"/>
      <c s="66"/>
      <c s="66"/>
      <c s="66"/>
      <c s="66"/>
      <c s="66"/>
      <c s="66"/>
      <c s="66"/>
      <c s="66"/>
      <c s="66"/>
      <c s="66"/>
      <c s="66"/>
      <c s="66"/>
      <c s="66"/>
      <c s="66"/>
      <c s="66"/>
      <c s="65"/>
      <c s="65"/>
      <c s="65"/>
      <c s="65"/>
      <c s="65"/>
      <c s="65"/>
    </row>
    <row r="104" spans="1:138" ht="15">
      <c r="A10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65"/>
      <c s="65"/>
      <c s="65"/>
      <c s="65"/>
      <c s="65"/>
      <c s="65"/>
      <c s="65"/>
      <c s="65"/>
      <c s="65"/>
      <c s="65"/>
      <c s="65"/>
      <c s="65"/>
      <c s="65"/>
      <c s="65"/>
      <c s="65"/>
      <c s="65"/>
      <c s="65"/>
      <c s="65"/>
      <c s="65"/>
      <c s="65"/>
      <c s="65"/>
      <c s="65"/>
      <c s="66" t="s">
        <v>416</v>
      </c>
      <c s="66"/>
      <c s="66"/>
      <c s="66"/>
      <c s="66"/>
      <c s="66"/>
      <c s="66"/>
      <c s="66"/>
      <c s="66"/>
      <c s="66"/>
      <c s="66"/>
      <c s="66"/>
      <c s="66"/>
      <c s="66"/>
      <c s="66"/>
      <c s="66"/>
      <c s="66"/>
      <c s="66"/>
      <c s="66"/>
      <c s="66"/>
      <c s="66"/>
      <c s="66"/>
      <c s="66"/>
      <c s="66"/>
      <c s="66"/>
      <c s="66"/>
      <c s="66"/>
      <c s="66"/>
      <c s="66"/>
      <c s="66"/>
      <c s="66"/>
      <c s="65"/>
      <c s="65"/>
      <c s="65"/>
      <c s="65"/>
      <c s="65"/>
      <c s="65"/>
    </row>
    <row r="105" spans="1:141" ht="15">
      <c r="A10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7"/>
      <c s="67"/>
      <c s="67"/>
      <c s="67"/>
      <c s="67"/>
      <c s="67"/>
      <c s="67"/>
      <c s="67"/>
      <c s="67"/>
      <c s="75"/>
      <c s="67"/>
      <c s="67"/>
      <c s="67"/>
      <c s="67"/>
      <c s="67"/>
      <c s="67"/>
      <c s="67"/>
      <c s="67"/>
      <c s="67"/>
      <c s="67"/>
      <c s="67"/>
      <c s="67"/>
      <c s="67"/>
      <c s="66"/>
      <c s="66"/>
      <c s="66"/>
      <c s="66"/>
      <c s="66"/>
      <c s="66"/>
      <c s="66"/>
      <c s="66"/>
      <c s="66"/>
      <c s="66"/>
      <c s="66"/>
      <c s="66"/>
      <c s="66">
        <v>44930541.6696875</v>
      </c>
      <c s="66"/>
      <c s="66"/>
      <c s="66"/>
      <c s="66"/>
      <c s="66"/>
      <c s="66"/>
      <c s="66"/>
      <c s="66"/>
      <c s="66"/>
      <c s="66"/>
      <c s="66"/>
      <c s="66"/>
      <c s="66"/>
      <c s="66"/>
      <c s="66"/>
      <c s="66"/>
      <c s="66"/>
      <c s="66"/>
      <c s="67"/>
      <c s="67"/>
      <c s="67"/>
      <c s="67"/>
      <c s="68"/>
      <c s="68"/>
      <c s="69"/>
      <c s="69"/>
      <c s="69"/>
    </row>
    <row r="106" spans="1:141" ht="15">
      <c r="A10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7"/>
      <c s="67"/>
      <c s="67"/>
      <c s="67"/>
      <c s="67"/>
      <c s="67"/>
      <c s="67"/>
      <c s="67"/>
      <c s="67"/>
      <c s="67"/>
      <c s="67"/>
      <c s="67"/>
      <c s="67"/>
      <c s="67"/>
      <c s="67"/>
      <c s="67"/>
      <c s="67"/>
      <c s="67"/>
      <c s="67"/>
      <c s="67"/>
      <c s="67"/>
      <c s="67"/>
      <c s="67"/>
      <c s="66" t="s">
        <v>392</v>
      </c>
      <c s="66"/>
      <c s="66"/>
      <c s="66"/>
      <c s="66"/>
      <c s="66"/>
      <c s="66"/>
      <c s="66"/>
      <c s="66"/>
      <c s="66"/>
      <c s="66"/>
      <c s="66"/>
      <c s="66">
        <v>0.0674713385299297</v>
      </c>
      <c s="66"/>
      <c s="66"/>
      <c s="66"/>
      <c s="66"/>
      <c s="66"/>
      <c s="66"/>
      <c s="66"/>
      <c s="66"/>
      <c s="66"/>
      <c s="66"/>
      <c s="66"/>
      <c s="66"/>
      <c s="66"/>
      <c s="66"/>
      <c s="66"/>
      <c s="66"/>
      <c s="66"/>
      <c s="66"/>
      <c s="67"/>
      <c s="67"/>
      <c s="67"/>
      <c s="67"/>
      <c s="68"/>
      <c s="68"/>
      <c s="69"/>
      <c s="69"/>
      <c s="69"/>
    </row>
    <row r="107" spans="1:141" ht="15">
      <c r="A10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7"/>
      <c s="67" t="s">
        <v>44</v>
      </c>
      <c s="67"/>
      <c s="67"/>
      <c s="67"/>
      <c s="67"/>
      <c s="67"/>
      <c s="67"/>
      <c s="67"/>
      <c s="67"/>
      <c s="67"/>
      <c s="67"/>
      <c s="67">
        <v>4</v>
      </c>
      <c s="67"/>
      <c s="67"/>
      <c s="67"/>
      <c s="67"/>
      <c s="67"/>
      <c s="67"/>
      <c s="67"/>
      <c s="67"/>
      <c s="85"/>
      <c s="67"/>
      <c s="66" t="s">
        <v>393</v>
      </c>
      <c s="66"/>
      <c s="66"/>
      <c s="66"/>
      <c s="66"/>
      <c s="66"/>
      <c s="66"/>
      <c s="66"/>
      <c s="66"/>
      <c s="66"/>
      <c s="66"/>
      <c s="66"/>
      <c s="66"/>
      <c s="66"/>
      <c s="66"/>
      <c s="66"/>
      <c s="66"/>
      <c s="66"/>
      <c s="66"/>
      <c s="66"/>
      <c s="66"/>
      <c s="66"/>
      <c s="66"/>
      <c s="66"/>
      <c s="66"/>
      <c s="66"/>
      <c s="66"/>
      <c s="66"/>
      <c s="66"/>
      <c s="66"/>
      <c s="66"/>
      <c s="67"/>
      <c s="67"/>
      <c s="67"/>
      <c s="67"/>
      <c s="68"/>
      <c s="68"/>
      <c s="69"/>
      <c s="69"/>
      <c s="69"/>
    </row>
    <row r="108" spans="1:141" ht="15">
      <c r="A10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7"/>
      <c s="67"/>
      <c s="67"/>
      <c s="67"/>
      <c s="67"/>
      <c s="67"/>
      <c s="67"/>
      <c s="67"/>
      <c s="67"/>
      <c s="67"/>
      <c s="67"/>
      <c s="67"/>
      <c s="67"/>
      <c s="67"/>
      <c s="67"/>
      <c s="67"/>
      <c s="67"/>
      <c s="67" t="s">
        <v>408</v>
      </c>
      <c s="67"/>
      <c s="67"/>
      <c s="67"/>
      <c s="85"/>
      <c s="67"/>
      <c s="66" t="s">
        <v>417</v>
      </c>
      <c s="66"/>
      <c s="66"/>
      <c s="66"/>
      <c s="66"/>
      <c s="66"/>
      <c s="66"/>
      <c s="66"/>
      <c s="66"/>
      <c s="66"/>
      <c s="66"/>
      <c s="66"/>
      <c s="66"/>
      <c s="66"/>
      <c s="66"/>
      <c s="66"/>
      <c s="66"/>
      <c s="66"/>
      <c s="66"/>
      <c s="66"/>
      <c s="66"/>
      <c s="66"/>
      <c s="66"/>
      <c s="66"/>
      <c s="66"/>
      <c s="66"/>
      <c s="66"/>
      <c s="66"/>
      <c s="66"/>
      <c s="66"/>
      <c s="66"/>
      <c s="67" t="s">
        <v>45</v>
      </c>
      <c s="67" t="s">
        <v>45</v>
      </c>
      <c s="67" t="s">
        <v>45</v>
      </c>
      <c s="67" t="s">
        <v>45</v>
      </c>
      <c s="68" t="s">
        <v>34</v>
      </c>
      <c s="68" t="s">
        <v>34</v>
      </c>
      <c s="69"/>
      <c s="69"/>
      <c s="69"/>
    </row>
    <row r="109" spans="1:141" ht="30">
      <c r="A10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7"/>
      <c s="70" t="s">
        <v>50</v>
      </c>
      <c s="67" t="s">
        <v>38</v>
      </c>
      <c s="67" t="s">
        <v>9</v>
      </c>
      <c s="67" t="s">
        <v>13</v>
      </c>
      <c s="67" t="s">
        <v>10</v>
      </c>
      <c s="67" t="s">
        <v>15</v>
      </c>
      <c s="67" t="s">
        <v>11</v>
      </c>
      <c s="67" t="s">
        <v>17</v>
      </c>
      <c s="67" t="s">
        <v>12</v>
      </c>
      <c s="67" t="s">
        <v>19</v>
      </c>
      <c s="67"/>
      <c s="67"/>
      <c s="67" t="s">
        <v>9</v>
      </c>
      <c s="67" t="s">
        <v>21</v>
      </c>
      <c s="67" t="s">
        <v>10</v>
      </c>
      <c s="67" t="s">
        <v>22</v>
      </c>
      <c s="67" t="s">
        <v>11</v>
      </c>
      <c s="67" t="s">
        <v>23</v>
      </c>
      <c s="67" t="s">
        <v>12</v>
      </c>
      <c s="67" t="s">
        <v>24</v>
      </c>
      <c s="67"/>
      <c s="67"/>
      <c s="66" t="s">
        <v>41</v>
      </c>
      <c s="66" t="s">
        <v>32</v>
      </c>
      <c s="66"/>
      <c s="66"/>
      <c s="66"/>
      <c s="66"/>
      <c s="66"/>
      <c s="66"/>
      <c s="66"/>
      <c s="66"/>
      <c s="66"/>
      <c s="66"/>
      <c s="66"/>
      <c s="66"/>
      <c s="66"/>
      <c s="66"/>
      <c s="66" t="s">
        <v>33</v>
      </c>
      <c s="66"/>
      <c s="66"/>
      <c s="66"/>
      <c s="66"/>
      <c s="66"/>
      <c s="66"/>
      <c s="66"/>
      <c s="66"/>
      <c s="66"/>
      <c s="66"/>
      <c s="66"/>
      <c s="66"/>
      <c s="66"/>
      <c s="66"/>
      <c s="67" t="s">
        <v>32</v>
      </c>
      <c s="67" t="s">
        <v>32</v>
      </c>
      <c s="67" t="s">
        <v>33</v>
      </c>
      <c s="67" t="s">
        <v>33</v>
      </c>
      <c s="68" t="s">
        <v>33</v>
      </c>
      <c s="68" t="s">
        <v>33</v>
      </c>
      <c s="115" t="s">
        <v>411</v>
      </c>
      <c s="115"/>
      <c s="69"/>
    </row>
    <row r="110" spans="1:141" ht="29.25">
      <c r="A11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8"/>
      <c s="67" t="s">
        <v>29</v>
      </c>
      <c s="67" t="s">
        <v>5</v>
      </c>
      <c s="67" t="s">
        <v>7</v>
      </c>
      <c s="67" t="s">
        <v>58</v>
      </c>
      <c s="67" t="s">
        <v>14</v>
      </c>
      <c s="67" t="s">
        <v>59</v>
      </c>
      <c s="67" t="s">
        <v>16</v>
      </c>
      <c s="67" t="s">
        <v>67</v>
      </c>
      <c s="67" t="s">
        <v>18</v>
      </c>
      <c s="67" t="s">
        <v>492</v>
      </c>
      <c s="67" t="s">
        <v>20</v>
      </c>
      <c s="67" t="s">
        <v>6</v>
      </c>
      <c s="67" t="s">
        <v>8</v>
      </c>
      <c s="67" t="s">
        <v>67</v>
      </c>
      <c s="67" t="s">
        <v>14</v>
      </c>
      <c s="67" t="s">
        <v>59</v>
      </c>
      <c s="67" t="s">
        <v>16</v>
      </c>
      <c s="67" t="s">
        <v>55</v>
      </c>
      <c s="67" t="s">
        <v>18</v>
      </c>
      <c s="67" t="s">
        <v>492</v>
      </c>
      <c s="67" t="s">
        <v>20</v>
      </c>
      <c s="67" t="s">
        <v>4</v>
      </c>
      <c s="67" t="s">
        <v>3</v>
      </c>
      <c s="66" t="s">
        <v>41</v>
      </c>
      <c s="66" t="s">
        <v>394</v>
      </c>
      <c s="66" t="s">
        <v>395</v>
      </c>
      <c s="66" t="s">
        <v>396</v>
      </c>
      <c s="66" t="s">
        <v>397</v>
      </c>
      <c s="66" t="s">
        <v>398</v>
      </c>
      <c s="66" t="s">
        <v>399</v>
      </c>
      <c s="66" t="s">
        <v>400</v>
      </c>
      <c s="66" t="s">
        <v>401</v>
      </c>
      <c s="66" t="s">
        <v>402</v>
      </c>
      <c s="66" t="s">
        <v>403</v>
      </c>
      <c s="66" t="s">
        <v>404</v>
      </c>
      <c s="66" t="s">
        <v>30</v>
      </c>
      <c s="66" t="s">
        <v>405</v>
      </c>
      <c s="66" t="s">
        <v>406</v>
      </c>
      <c s="66" t="s">
        <v>407</v>
      </c>
      <c s="66" t="s">
        <v>394</v>
      </c>
      <c s="66" t="s">
        <v>395</v>
      </c>
      <c s="66" t="s">
        <v>396</v>
      </c>
      <c s="66" t="s">
        <v>397</v>
      </c>
      <c s="66" t="s">
        <v>398</v>
      </c>
      <c s="66" t="s">
        <v>399</v>
      </c>
      <c s="66" t="s">
        <v>400</v>
      </c>
      <c s="66" t="s">
        <v>401</v>
      </c>
      <c s="66" t="s">
        <v>402</v>
      </c>
      <c s="66" t="s">
        <v>403</v>
      </c>
      <c s="66" t="s">
        <v>404</v>
      </c>
      <c s="66" t="s">
        <v>30</v>
      </c>
      <c s="66" t="s">
        <v>405</v>
      </c>
      <c s="66" t="s">
        <v>406</v>
      </c>
      <c s="66" t="s">
        <v>407</v>
      </c>
      <c s="67" t="s">
        <v>30</v>
      </c>
      <c s="67" t="s">
        <v>31</v>
      </c>
      <c s="67" t="s">
        <v>30</v>
      </c>
      <c s="67" t="s">
        <v>31</v>
      </c>
      <c s="71" t="s">
        <v>36</v>
      </c>
      <c s="71" t="s">
        <v>35</v>
      </c>
      <c s="69" t="s">
        <v>4</v>
      </c>
      <c s="69" t="s">
        <v>34</v>
      </c>
      <c s="69"/>
    </row>
    <row r="111" spans="1:141" ht="15">
      <c r="A11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65"/>
      <c s="65"/>
      <c s="65"/>
      <c s="65"/>
      <c s="65"/>
      <c s="65"/>
      <c s="65"/>
      <c s="65"/>
      <c s="65"/>
      <c s="65"/>
      <c s="65"/>
      <c s="65"/>
      <c s="65"/>
      <c s="65"/>
      <c s="65"/>
      <c s="65"/>
      <c s="65"/>
      <c s="65"/>
      <c s="65"/>
      <c s="65"/>
      <c s="65" t="s">
        <v>493</v>
      </c>
      <c s="65" t="s">
        <v>58</v>
      </c>
      <c s="72" t="s">
        <v>418</v>
      </c>
      <c s="72" t="s">
        <v>419</v>
      </c>
      <c s="72">
        <v>118332520.121765</v>
      </c>
      <c s="72">
        <v>62679564.7600708</v>
      </c>
      <c s="72">
        <v>52.9690102903014</v>
      </c>
      <c s="72">
        <v>55652955.3616943</v>
      </c>
      <c s="72">
        <v>47.0309897096986</v>
      </c>
      <c s="72">
        <v>47600790.5543213</v>
      </c>
      <c s="72">
        <v>29.0818923678048</v>
      </c>
      <c s="72">
        <v>70.9181076321952</v>
      </c>
      <c s="72">
        <v>13843210.6752319</v>
      </c>
      <c s="72">
        <v>217587515.842266</v>
      </c>
      <c s="72" t="s">
        <v>408</v>
      </c>
      <c s="72">
        <v>0</v>
      </c>
      <c s="72">
        <v>29.0818923678048</v>
      </c>
      <c s="72">
        <v>7481889.8677703</v>
      </c>
      <c s="72" t="s">
        <v>408</v>
      </c>
      <c s="72">
        <v>203451.020446777</v>
      </c>
      <c s="72">
        <v>-421216.70489502</v>
      </c>
      <c s="72">
        <v>-0.447800614087207</v>
      </c>
      <c s="72">
        <v>624667.725341797</v>
      </c>
      <c s="72">
        <v>0.447800614087207</v>
      </c>
      <c s="72">
        <v>-1558150.93988037</v>
      </c>
      <c s="72">
        <v>-0.442031219838075</v>
      </c>
      <c s="72">
        <v>0.442031219838071</v>
      </c>
      <c s="72">
        <v>-670437.648010254</v>
      </c>
      <c s="72">
        <v>15131511.5516797</v>
      </c>
      <c s="72" t="s">
        <v>408</v>
      </c>
      <c s="72">
        <v>0</v>
      </c>
      <c s="72">
        <v>-0.442031219838075</v>
      </c>
      <c s="72" t="s">
        <v>408</v>
      </c>
      <c s="73"/>
      <c s="73"/>
      <c s="73"/>
      <c s="73"/>
      <c s="74"/>
      <c s="74"/>
      <c s="69" t="s">
        <v>418</v>
      </c>
      <c s="69" t="s">
        <v>419</v>
      </c>
      <c s="69"/>
    </row>
    <row r="112" spans="1:140" ht="15">
      <c r="A11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65"/>
      <c s="65"/>
      <c s="65"/>
      <c s="65"/>
      <c s="65"/>
      <c s="65"/>
      <c s="65"/>
      <c s="65"/>
      <c s="65"/>
      <c s="65"/>
      <c s="65"/>
      <c s="65"/>
      <c s="65"/>
      <c s="65"/>
      <c s="65"/>
      <c s="65"/>
      <c s="65"/>
      <c s="65"/>
      <c s="65"/>
      <c s="65"/>
      <c s="65" t="s">
        <v>54</v>
      </c>
      <c s="65" t="s">
        <v>54</v>
      </c>
      <c s="72" t="s">
        <v>420</v>
      </c>
      <c s="72" t="s">
        <v>420</v>
      </c>
      <c s="72">
        <v>118332520.121765</v>
      </c>
      <c s="72">
        <v>118332520.121765</v>
      </c>
      <c s="72">
        <v>100</v>
      </c>
      <c s="72">
        <v>0</v>
      </c>
      <c s="72">
        <v>0</v>
      </c>
      <c s="72">
        <v>47600790.5543213</v>
      </c>
      <c s="72">
        <v>100</v>
      </c>
      <c s="72">
        <v>0</v>
      </c>
      <c s="72">
        <v>47600790.5543213</v>
      </c>
      <c s="72">
        <v>503115778.998047</v>
      </c>
      <c s="72">
        <v>665920413.743633</v>
      </c>
      <c s="72">
        <v>285528263.155781</v>
      </c>
      <c s="72">
        <v>100</v>
      </c>
      <c s="72">
        <v>19354456.469132</v>
      </c>
      <c s="72" t="s">
        <v>408</v>
      </c>
      <c s="72">
        <v>203451.020446777</v>
      </c>
      <c s="72">
        <v>203451.020446777</v>
      </c>
      <c s="72">
        <v>0</v>
      </c>
      <c s="72">
        <v>0</v>
      </c>
      <c s="72">
        <v>0</v>
      </c>
      <c s="72">
        <v>-1558150.93988037</v>
      </c>
      <c s="72">
        <v>0</v>
      </c>
      <c s="72">
        <v>0</v>
      </c>
      <c s="72">
        <v>-1558150.93988037</v>
      </c>
      <c s="72">
        <v>11357104.2177734</v>
      </c>
      <c s="72">
        <v>-68339957.1220312</v>
      </c>
      <c s="72">
        <v>-3774407.33390623</v>
      </c>
      <c s="72">
        <v>0</v>
      </c>
      <c s="72" t="s">
        <v>408</v>
      </c>
      <c s="73"/>
      <c s="73"/>
      <c s="73"/>
      <c s="73"/>
      <c s="74"/>
      <c s="74"/>
      <c s="69" t="s">
        <v>420</v>
      </c>
      <c s="69" t="s">
        <v>420</v>
      </c>
    </row>
    <row r="113" spans="1:141" ht="15">
      <c r="A11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v>25277445.0171875</v>
      </c>
      <c s="76">
        <v>4</v>
      </c>
      <c s="75" t="s">
        <v>408</v>
      </c>
      <c s="76" t="s">
        <v>408</v>
      </c>
      <c s="75" t="s">
        <v>408</v>
      </c>
      <c s="76" t="s">
        <v>408</v>
      </c>
      <c s="75" t="s">
        <v>408</v>
      </c>
      <c s="76" t="s">
        <v>408</v>
      </c>
      <c s="75" t="s">
        <v>408</v>
      </c>
      <c s="76" t="s">
        <v>408</v>
      </c>
      <c s="75">
        <v>101995412.654687</v>
      </c>
      <c s="76">
        <v>3</v>
      </c>
      <c s="75" t="s">
        <v>408</v>
      </c>
      <c s="76" t="s">
        <v>408</v>
      </c>
      <c s="75" t="s">
        <v>408</v>
      </c>
      <c s="76" t="s">
        <v>408</v>
      </c>
      <c s="75" t="s">
        <v>408</v>
      </c>
      <c s="76" t="s">
        <v>408</v>
      </c>
      <c s="75" t="s">
        <v>408</v>
      </c>
      <c s="76" t="s">
        <v>408</v>
      </c>
      <c s="65" t="s">
        <v>55</v>
      </c>
      <c s="65" t="s">
        <v>55</v>
      </c>
      <c s="72" t="s">
        <v>421</v>
      </c>
      <c s="72" t="s">
        <v>421</v>
      </c>
      <c s="72">
        <v>118332520.121765</v>
      </c>
      <c s="72">
        <v>61942743.5274658</v>
      </c>
      <c s="72">
        <v>52.346340180811</v>
      </c>
      <c s="72">
        <v>56389776.5942993</v>
      </c>
      <c s="72">
        <v>47.653659819189</v>
      </c>
      <c s="72">
        <v>47600790.5543213</v>
      </c>
      <c s="72">
        <v>14.3696374513057</v>
      </c>
      <c s="72">
        <v>85.6303625486943</v>
      </c>
      <c s="72">
        <v>6840061.02661133</v>
      </c>
      <c s="72">
        <v>25277445.0171875</v>
      </c>
      <c s="72">
        <v>101995412.654687</v>
      </c>
      <c s="72">
        <v>25277445.0171875</v>
      </c>
      <c s="72">
        <v>27.8775743954492</v>
      </c>
      <c s="72">
        <v>8266301.45614832</v>
      </c>
      <c s="72" t="s">
        <v>408</v>
      </c>
      <c s="72">
        <v>203451.020446777</v>
      </c>
      <c s="72">
        <v>995788.398376465</v>
      </c>
      <c s="72">
        <v>0.752811515300543</v>
      </c>
      <c s="72">
        <v>-792337.377929688</v>
      </c>
      <c s="72">
        <v>-0.752811515300543</v>
      </c>
      <c s="72">
        <v>-1558150.93988037</v>
      </c>
      <c s="72">
        <v>-0.758925485867101</v>
      </c>
      <c s="72">
        <v>0.758925485867096</v>
      </c>
      <c s="72">
        <v>-596980.376586914</v>
      </c>
      <c s="72">
        <v>-4866230.63820313</v>
      </c>
      <c s="72">
        <v>-16187182.9036719</v>
      </c>
      <c s="72">
        <v>-4866230.63820313</v>
      </c>
      <c s="72">
        <v>-1.47379436670144</v>
      </c>
      <c s="72" t="s">
        <v>408</v>
      </c>
      <c s="73">
        <v>101995412.654687</v>
      </c>
      <c s="73">
        <v>25277445.0171875</v>
      </c>
      <c s="73">
        <v>-16187182.9036719</v>
      </c>
      <c s="73">
        <v>-4866230.63820313</v>
      </c>
      <c s="74">
        <v>-0.00779004710637499</v>
      </c>
      <c s="74">
        <v>-0.0110558945597364</v>
      </c>
      <c s="69" t="s">
        <v>421</v>
      </c>
      <c s="69" t="s">
        <v>421</v>
      </c>
      <c s="77"/>
    </row>
    <row r="114" spans="1:141" ht="15">
      <c r="A11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v>3511416.206875</v>
      </c>
      <c s="76">
        <v>5</v>
      </c>
      <c s="75" t="s">
        <v>408</v>
      </c>
      <c s="76" t="s">
        <v>408</v>
      </c>
      <c s="75" t="s">
        <v>408</v>
      </c>
      <c s="76" t="s">
        <v>408</v>
      </c>
      <c s="75" t="s">
        <v>408</v>
      </c>
      <c s="76" t="s">
        <v>408</v>
      </c>
      <c s="75">
        <v>15520228.98375</v>
      </c>
      <c s="76">
        <v>3</v>
      </c>
      <c s="75" t="s">
        <v>408</v>
      </c>
      <c s="76" t="s">
        <v>408</v>
      </c>
      <c s="65" t="s">
        <v>486</v>
      </c>
      <c s="65" t="s">
        <v>55</v>
      </c>
      <c s="72" t="s">
        <v>422</v>
      </c>
      <c s="72" t="s">
        <v>421</v>
      </c>
      <c s="72">
        <v>118332520.121765</v>
      </c>
      <c s="72">
        <v>10478035.4973755</v>
      </c>
      <c s="72">
        <v>8.854738736734</v>
      </c>
      <c s="72">
        <v>107854484.62439</v>
      </c>
      <c s="72">
        <v>91.145261263266</v>
      </c>
      <c s="72">
        <v>47600790.5543213</v>
      </c>
      <c s="72">
        <v>2.00615101808858</v>
      </c>
      <c s="72">
        <v>97.9938489819114</v>
      </c>
      <c s="72">
        <v>954943.74432373</v>
      </c>
      <c s="72">
        <v>3511416.206875</v>
      </c>
      <c s="72">
        <v>15520228.98375</v>
      </c>
      <c s="72">
        <v>3511416.206875</v>
      </c>
      <c s="72">
        <v>25.9539382890914</v>
      </c>
      <c s="72">
        <v>1456263.37626757</v>
      </c>
      <c s="72" t="s">
        <v>408</v>
      </c>
      <c s="72">
        <v>203451.020446777</v>
      </c>
      <c s="72">
        <v>18443.6372070313</v>
      </c>
      <c s="72">
        <v>0.000362807302650481</v>
      </c>
      <c s="72">
        <v>185007.383239746</v>
      </c>
      <c s="72">
        <v>-0.000362807302650481</v>
      </c>
      <c s="72">
        <v>-1558150.93988037</v>
      </c>
      <c s="72">
        <v>0.201587620530119</v>
      </c>
      <c s="72">
        <v>-0.20158762053012</v>
      </c>
      <c s="72">
        <v>67839.4794921875</v>
      </c>
      <c s="72">
        <v>-560371.896875</v>
      </c>
      <c s="72">
        <v>2210229.20140625</v>
      </c>
      <c s="72">
        <v>-560371.896875</v>
      </c>
      <c s="72">
        <v>0.243269317844437</v>
      </c>
      <c s="72" t="s">
        <v>408</v>
      </c>
      <c s="73" t="s">
        <v>408</v>
      </c>
      <c s="73" t="s">
        <v>408</v>
      </c>
      <c s="73" t="s">
        <v>408</v>
      </c>
      <c s="73" t="s">
        <v>408</v>
      </c>
      <c s="74" t="s">
        <v>408</v>
      </c>
      <c s="74" t="s">
        <v>408</v>
      </c>
      <c s="69" t="s">
        <v>422</v>
      </c>
      <c s="69" t="s">
        <v>421</v>
      </c>
      <c s="77"/>
    </row>
    <row r="115" spans="1:141" ht="15">
      <c r="A11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v>10804511.2096875</v>
      </c>
      <c s="76">
        <v>2</v>
      </c>
      <c s="75" t="s">
        <v>408</v>
      </c>
      <c s="76" t="s">
        <v>408</v>
      </c>
      <c s="75" t="s">
        <v>408</v>
      </c>
      <c s="76" t="s">
        <v>408</v>
      </c>
      <c s="75" t="s">
        <v>408</v>
      </c>
      <c s="76" t="s">
        <v>408</v>
      </c>
      <c s="75">
        <v>45645023.6346875</v>
      </c>
      <c s="76">
        <v>1</v>
      </c>
      <c s="75" t="s">
        <v>408</v>
      </c>
      <c s="76" t="s">
        <v>408</v>
      </c>
      <c s="65" t="s">
        <v>478</v>
      </c>
      <c s="65" t="s">
        <v>55</v>
      </c>
      <c s="72" t="s">
        <v>423</v>
      </c>
      <c s="72" t="s">
        <v>421</v>
      </c>
      <c s="72">
        <v>118332520.121765</v>
      </c>
      <c s="72">
        <v>26131766.690979</v>
      </c>
      <c s="72">
        <v>22.0833348804616</v>
      </c>
      <c s="72">
        <v>92200753.4307861</v>
      </c>
      <c s="72">
        <v>77.9166651195384</v>
      </c>
      <c s="72">
        <v>47600790.5543213</v>
      </c>
      <c s="72">
        <v>6.57470711945268</v>
      </c>
      <c s="72">
        <v>93.4252928805473</v>
      </c>
      <c s="72">
        <v>3129612.56549072</v>
      </c>
      <c s="72">
        <v>10804511.2096875</v>
      </c>
      <c s="72">
        <v>45645023.6346875</v>
      </c>
      <c s="72">
        <v>10804511.2096875</v>
      </c>
      <c s="72">
        <v>32.2639104751417</v>
      </c>
      <c s="72">
        <v>3309904.01050513</v>
      </c>
      <c s="72" t="s">
        <v>408</v>
      </c>
      <c s="72">
        <v>203451.020446777</v>
      </c>
      <c s="72">
        <v>613581.618103027</v>
      </c>
      <c s="72">
        <v>0.481382653961592</v>
      </c>
      <c s="72">
        <v>-410130.59765625</v>
      </c>
      <c s="72">
        <v>-0.481382653961603</v>
      </c>
      <c s="72">
        <v>-1558150.93988037</v>
      </c>
      <c s="72">
        <v>-0.322334158942936</v>
      </c>
      <c s="72">
        <v>0.322334158942937</v>
      </c>
      <c s="72">
        <v>-260899.921386719</v>
      </c>
      <c s="72">
        <v>-3109841.1365625</v>
      </c>
      <c s="72">
        <v>-8229306.230625</v>
      </c>
      <c s="72">
        <v>-3109841.1365625</v>
      </c>
      <c s="72">
        <v>-0.731655551945366</v>
      </c>
      <c s="72" t="s">
        <v>408</v>
      </c>
      <c s="73" t="s">
        <v>408</v>
      </c>
      <c s="73" t="s">
        <v>408</v>
      </c>
      <c s="73" t="s">
        <v>408</v>
      </c>
      <c s="73" t="s">
        <v>408</v>
      </c>
      <c s="74" t="s">
        <v>408</v>
      </c>
      <c s="74" t="s">
        <v>408</v>
      </c>
      <c s="69" t="s">
        <v>423</v>
      </c>
      <c s="69" t="s">
        <v>421</v>
      </c>
      <c s="77"/>
    </row>
    <row r="116" spans="1:141" ht="15">
      <c r="A11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v>10470745.7296875</v>
      </c>
      <c s="76">
        <v>3</v>
      </c>
      <c s="75" t="s">
        <v>408</v>
      </c>
      <c s="76" t="s">
        <v>408</v>
      </c>
      <c s="75" t="s">
        <v>408</v>
      </c>
      <c s="76" t="s">
        <v>408</v>
      </c>
      <c s="75" t="s">
        <v>408</v>
      </c>
      <c s="76" t="s">
        <v>408</v>
      </c>
      <c s="75">
        <v>39865311.3165625</v>
      </c>
      <c s="76">
        <v>2</v>
      </c>
      <c s="75" t="s">
        <v>408</v>
      </c>
      <c s="76" t="s">
        <v>408</v>
      </c>
      <c s="65" t="s">
        <v>482</v>
      </c>
      <c s="65" t="s">
        <v>55</v>
      </c>
      <c s="72" t="s">
        <v>424</v>
      </c>
      <c s="72" t="s">
        <v>421</v>
      </c>
      <c s="72">
        <v>118332520.121765</v>
      </c>
      <c s="72">
        <v>30885373.225647</v>
      </c>
      <c s="72">
        <v>26.1004947700477</v>
      </c>
      <c s="72">
        <v>87447146.8961182</v>
      </c>
      <c s="72">
        <v>73.8995052299523</v>
      </c>
      <c s="72">
        <v>47600790.5543213</v>
      </c>
      <c s="72">
        <v>5.9756606415848</v>
      </c>
      <c s="72">
        <v>94.0243393584152</v>
      </c>
      <c s="72">
        <v>2844461.70623779</v>
      </c>
      <c s="72">
        <v>10470745.7296875</v>
      </c>
      <c s="72">
        <v>39865311.3165625</v>
      </c>
      <c s="72">
        <v>10470745.7296875</v>
      </c>
      <c s="72">
        <v>20.4729976287968</v>
      </c>
      <c s="72">
        <v>4057999.47391446</v>
      </c>
      <c s="72" t="s">
        <v>408</v>
      </c>
      <c s="72">
        <v>203451.020446777</v>
      </c>
      <c s="72">
        <v>-362604.467102051</v>
      </c>
      <c s="72">
        <v>-0.351908461834082</v>
      </c>
      <c s="72">
        <v>566055.487548828</v>
      </c>
      <c s="72">
        <v>0.351908461834086</v>
      </c>
      <c s="72">
        <v>-1558150.93988037</v>
      </c>
      <c s="72">
        <v>-0.653771401475357</v>
      </c>
      <c s="72">
        <v>0.653771401475368</v>
      </c>
      <c s="72">
        <v>-414496.913208008</v>
      </c>
      <c s="72">
        <v>-1403029.95164062</v>
      </c>
      <c s="72">
        <v>-10094089.0810156</v>
      </c>
      <c s="72">
        <v>-1403029.95164062</v>
      </c>
      <c s="72">
        <v>-1.82124732935022</v>
      </c>
      <c s="72" t="s">
        <v>408</v>
      </c>
      <c s="73" t="s">
        <v>408</v>
      </c>
      <c s="73" t="s">
        <v>408</v>
      </c>
      <c s="73" t="s">
        <v>408</v>
      </c>
      <c s="73" t="s">
        <v>408</v>
      </c>
      <c s="74" t="s">
        <v>408</v>
      </c>
      <c s="74" t="s">
        <v>408</v>
      </c>
      <c s="69" t="s">
        <v>424</v>
      </c>
      <c s="69" t="s">
        <v>421</v>
      </c>
      <c s="77"/>
    </row>
    <row r="117" spans="1:141" ht="15">
      <c r="A11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v>1001362.15257813</v>
      </c>
      <c s="76">
        <v>4</v>
      </c>
      <c s="75" t="s">
        <v>408</v>
      </c>
      <c s="76" t="s">
        <v>408</v>
      </c>
      <c s="75" t="s">
        <v>408</v>
      </c>
      <c s="76" t="s">
        <v>408</v>
      </c>
      <c s="75" t="s">
        <v>408</v>
      </c>
      <c s="76" t="s">
        <v>408</v>
      </c>
      <c s="75" t="s">
        <v>408</v>
      </c>
      <c s="76" t="s">
        <v>408</v>
      </c>
      <c s="65" t="s">
        <v>56</v>
      </c>
      <c s="65" t="s">
        <v>56</v>
      </c>
      <c s="72" t="s">
        <v>425</v>
      </c>
      <c s="72" t="s">
        <v>425</v>
      </c>
      <c s="72">
        <v>118332520.121765</v>
      </c>
      <c s="72">
        <v>40752592.2315674</v>
      </c>
      <c s="72">
        <v>34.4390470089141</v>
      </c>
      <c s="72">
        <v>77579927.8901978</v>
      </c>
      <c s="72">
        <v>65.5609529910859</v>
      </c>
      <c s="72">
        <v>47600790.5543213</v>
      </c>
      <c s="72">
        <v>0.594678260180467</v>
      </c>
      <c s="72">
        <v>99.4053217398195</v>
      </c>
      <c s="72">
        <v>283071.553100586</v>
      </c>
      <c s="72" t="s">
        <v>408</v>
      </c>
      <c s="72">
        <v>1001362.15257813</v>
      </c>
      <c s="72" t="s">
        <v>408</v>
      </c>
      <c s="72">
        <v>1.5096190966616</v>
      </c>
      <c s="72">
        <v>1816860.59337735</v>
      </c>
      <c s="72" t="s">
        <v>408</v>
      </c>
      <c s="72">
        <v>203451.020446777</v>
      </c>
      <c s="72">
        <v>-1248426.63696289</v>
      </c>
      <c s="72">
        <v>-1.11614629622097</v>
      </c>
      <c s="72">
        <v>1451877.65740967</v>
      </c>
      <c s="72">
        <v>1.11614629622096</v>
      </c>
      <c s="72">
        <v>-1558150.93988037</v>
      </c>
      <c s="72">
        <v>-0.0668978437595429</v>
      </c>
      <c s="72">
        <v>0.0668978437595342</v>
      </c>
      <c s="72">
        <v>-42152.2567749023</v>
      </c>
      <c s="72" t="s">
        <v>408</v>
      </c>
      <c s="72">
        <v>-579555.377734375</v>
      </c>
      <c s="72" t="s">
        <v>408</v>
      </c>
      <c s="72">
        <v>-0.343391321826467</v>
      </c>
      <c s="72" t="s">
        <v>408</v>
      </c>
      <c s="73">
        <v>1001362.15257813</v>
      </c>
      <c s="73" t="s">
        <v>408</v>
      </c>
      <c s="73">
        <v>-579555.377734375</v>
      </c>
      <c s="73" t="s">
        <v>408</v>
      </c>
      <c s="74">
        <v>-0.000649348370440598</v>
      </c>
      <c s="74" t="s">
        <v>408</v>
      </c>
      <c s="69" t="s">
        <v>425</v>
      </c>
      <c s="69" t="s">
        <v>425</v>
      </c>
      <c s="77"/>
    </row>
    <row r="118" spans="1:141" ht="15">
      <c r="A11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v>8416289.283125</v>
      </c>
      <c s="76">
        <v>4</v>
      </c>
      <c s="75" t="s">
        <v>408</v>
      </c>
      <c s="76" t="s">
        <v>408</v>
      </c>
      <c s="75" t="s">
        <v>408</v>
      </c>
      <c s="76" t="s">
        <v>408</v>
      </c>
      <c s="75" t="s">
        <v>408</v>
      </c>
      <c s="76" t="s">
        <v>408</v>
      </c>
      <c s="75" t="s">
        <v>408</v>
      </c>
      <c s="76" t="s">
        <v>408</v>
      </c>
      <c s="75">
        <v>22731133.3533594</v>
      </c>
      <c s="76">
        <v>4</v>
      </c>
      <c s="75" t="s">
        <v>408</v>
      </c>
      <c s="76" t="s">
        <v>408</v>
      </c>
      <c s="75" t="s">
        <v>408</v>
      </c>
      <c s="76" t="s">
        <v>408</v>
      </c>
      <c s="75" t="s">
        <v>408</v>
      </c>
      <c s="76" t="s">
        <v>408</v>
      </c>
      <c s="75" t="s">
        <v>408</v>
      </c>
      <c s="76" t="s">
        <v>408</v>
      </c>
      <c s="65" t="s">
        <v>57</v>
      </c>
      <c s="65" t="s">
        <v>57</v>
      </c>
      <c s="72" t="s">
        <v>426</v>
      </c>
      <c s="72" t="s">
        <v>426</v>
      </c>
      <c s="72">
        <v>118332520.121765</v>
      </c>
      <c s="72">
        <v>77358499.2788086</v>
      </c>
      <c s="72">
        <v>65.373828934942</v>
      </c>
      <c s="72">
        <v>40974020.8429565</v>
      </c>
      <c s="72">
        <v>34.626171065058</v>
      </c>
      <c s="72">
        <v>47600790.5543213</v>
      </c>
      <c s="72">
        <v>8.81981164486825</v>
      </c>
      <c s="72">
        <v>91.1801883551317</v>
      </c>
      <c s="72">
        <v>4198300.06835938</v>
      </c>
      <c s="72">
        <v>8416289.283125</v>
      </c>
      <c s="72">
        <v>22731133.3533594</v>
      </c>
      <c s="72">
        <v>8416289.283125</v>
      </c>
      <c s="72">
        <v>13.07737027052</v>
      </c>
      <c s="72">
        <v>4605916.64719696</v>
      </c>
      <c s="72" t="s">
        <v>408</v>
      </c>
      <c s="72">
        <v>203451.020446777</v>
      </c>
      <c s="72">
        <v>1492333.30505371</v>
      </c>
      <c s="72">
        <v>1.15071556334246</v>
      </c>
      <c s="72">
        <v>-1288882.28460693</v>
      </c>
      <c s="72">
        <v>-1.15071556334246</v>
      </c>
      <c s="72">
        <v>-1558150.93988037</v>
      </c>
      <c s="72">
        <v>0.158340170832894</v>
      </c>
      <c s="72">
        <v>-0.158340170832901</v>
      </c>
      <c s="72">
        <v>-59587.6260986328</v>
      </c>
      <c s="72">
        <v>-6110.65253906325</v>
      </c>
      <c s="72">
        <v>4295005.82175781</v>
      </c>
      <c s="72">
        <v>-6110.65253906325</v>
      </c>
      <c s="72">
        <v>-0.416078623584369</v>
      </c>
      <c s="72" t="s">
        <v>408</v>
      </c>
      <c s="73">
        <v>22731133.3533594</v>
      </c>
      <c s="73">
        <v>8416289.283125</v>
      </c>
      <c s="73">
        <v>4295005.82175781</v>
      </c>
      <c s="73">
        <v>-6110.65253906325</v>
      </c>
      <c s="74">
        <v>0.00902647666510602</v>
      </c>
      <c s="74">
        <v>-0.000398764894887698</v>
      </c>
      <c s="69" t="s">
        <v>426</v>
      </c>
      <c s="69" t="s">
        <v>426</v>
      </c>
      <c s="77"/>
    </row>
    <row r="119" spans="1:141" ht="15">
      <c r="A11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v>4101391.8159375</v>
      </c>
      <c s="76">
        <v>4</v>
      </c>
      <c s="75" t="s">
        <v>408</v>
      </c>
      <c s="76" t="s">
        <v>408</v>
      </c>
      <c s="75" t="s">
        <v>408</v>
      </c>
      <c s="76" t="s">
        <v>408</v>
      </c>
      <c s="75" t="s">
        <v>408</v>
      </c>
      <c s="76" t="s">
        <v>408</v>
      </c>
      <c s="75" t="s">
        <v>408</v>
      </c>
      <c s="76" t="s">
        <v>408</v>
      </c>
      <c s="75">
        <v>11780062.8470313</v>
      </c>
      <c s="76">
        <v>4</v>
      </c>
      <c s="65" t="s">
        <v>487</v>
      </c>
      <c s="65" t="s">
        <v>57</v>
      </c>
      <c s="72" t="s">
        <v>427</v>
      </c>
      <c s="72" t="s">
        <v>426</v>
      </c>
      <c s="72">
        <v>118332520.121765</v>
      </c>
      <c s="72">
        <v>31938786.5004272</v>
      </c>
      <c s="72">
        <v>26.990709289012</v>
      </c>
      <c s="72">
        <v>86393733.6213379</v>
      </c>
      <c s="72">
        <v>73.009290710988</v>
      </c>
      <c s="72">
        <v>47600790.5543213</v>
      </c>
      <c s="72">
        <v>4.70997826761155</v>
      </c>
      <c s="72">
        <v>95.2900217323885</v>
      </c>
      <c s="72">
        <v>2241986.89031982</v>
      </c>
      <c s="72">
        <v>4101391.8159375</v>
      </c>
      <c s="72">
        <v>11780062.8470313</v>
      </c>
      <c s="72">
        <v>4101391.8159375</v>
      </c>
      <c s="72">
        <v>16.4091723705508</v>
      </c>
      <c s="72">
        <v>2053303.84445718</v>
      </c>
      <c s="72" t="s">
        <v>408</v>
      </c>
      <c s="72">
        <v>203451.020446777</v>
      </c>
      <c s="72">
        <v>738860.306213379</v>
      </c>
      <c s="72">
        <v>0.578983173186987</v>
      </c>
      <c s="72">
        <v>-535409.285766602</v>
      </c>
      <c s="72">
        <v>-0.578983173186984</v>
      </c>
      <c s="72">
        <v>-1558150.93988037</v>
      </c>
      <c s="72">
        <v>0.275177473282411</v>
      </c>
      <c s="72">
        <v>-0.275177473282412</v>
      </c>
      <c s="72">
        <v>61885.7624511719</v>
      </c>
      <c s="72">
        <v>-274266.5534375</v>
      </c>
      <c s="72">
        <v>1131240.99804688</v>
      </c>
      <c s="72">
        <v>-274266.5534375</v>
      </c>
      <c s="72">
        <v>-0.651323769696326</v>
      </c>
      <c s="72" t="s">
        <v>408</v>
      </c>
      <c s="73" t="s">
        <v>408</v>
      </c>
      <c s="73" t="s">
        <v>408</v>
      </c>
      <c s="73" t="s">
        <v>408</v>
      </c>
      <c s="73" t="s">
        <v>408</v>
      </c>
      <c s="74" t="s">
        <v>408</v>
      </c>
      <c s="74" t="s">
        <v>408</v>
      </c>
      <c s="69" t="s">
        <v>427</v>
      </c>
      <c s="69" t="s">
        <v>426</v>
      </c>
      <c s="77"/>
    </row>
    <row r="120" spans="1:141" ht="15">
      <c r="A12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v>259620.86640625</v>
      </c>
      <c s="76">
        <v>8</v>
      </c>
      <c s="75" t="s">
        <v>408</v>
      </c>
      <c s="76" t="s">
        <v>408</v>
      </c>
      <c s="75" t="s">
        <v>408</v>
      </c>
      <c s="76" t="s">
        <v>408</v>
      </c>
      <c s="75" t="s">
        <v>408</v>
      </c>
      <c s="76" t="s">
        <v>408</v>
      </c>
      <c s="75" t="s">
        <v>408</v>
      </c>
      <c s="76" t="s">
        <v>408</v>
      </c>
      <c s="75">
        <v>699852.245859375</v>
      </c>
      <c s="76">
        <v>10</v>
      </c>
      <c s="65" t="s">
        <v>494</v>
      </c>
      <c s="65" t="s">
        <v>57</v>
      </c>
      <c s="72" t="s">
        <v>428</v>
      </c>
      <c s="72" t="s">
        <v>426</v>
      </c>
      <c s="72">
        <v>118332520.121765</v>
      </c>
      <c s="72">
        <v>51198422.8744507</v>
      </c>
      <c s="72">
        <v>43.2665701886236</v>
      </c>
      <c s="72">
        <v>67134097.2473145</v>
      </c>
      <c s="72">
        <v>56.7334298113764</v>
      </c>
      <c s="72">
        <v>47600790.5543213</v>
      </c>
      <c s="72">
        <v>0.932468720319711</v>
      </c>
      <c s="72">
        <v>99.0675312796803</v>
      </c>
      <c s="72">
        <v>443862.482543945</v>
      </c>
      <c s="72">
        <v>259620.86640625</v>
      </c>
      <c s="72">
        <v>699852.245859375</v>
      </c>
      <c s="72">
        <v>259620.86640625</v>
      </c>
      <c s="72">
        <v>1.94660457244792</v>
      </c>
      <c s="72">
        <v>854161.99748825</v>
      </c>
      <c s="72" t="s">
        <v>408</v>
      </c>
      <c s="72">
        <v>203451.020446777</v>
      </c>
      <c s="72">
        <v>1341617.51470947</v>
      </c>
      <c s="72">
        <v>1.06120470235247</v>
      </c>
      <c s="72">
        <v>-1138166.4942627</v>
      </c>
      <c s="72">
        <v>-1.06120470235247</v>
      </c>
      <c s="72">
        <v>-1558150.93988037</v>
      </c>
      <c s="72">
        <v>-0.446620576469741</v>
      </c>
      <c s="72">
        <v>0.446620576469741</v>
      </c>
      <c s="72">
        <v>-234083.218017578</v>
      </c>
      <c s="72">
        <v>-190950.207304688</v>
      </c>
      <c s="72">
        <v>-412743.396835937</v>
      </c>
      <c s="72">
        <v>-190950.207304688</v>
      </c>
      <c s="72">
        <v>-0.71871103510151</v>
      </c>
      <c s="72" t="s">
        <v>408</v>
      </c>
      <c s="73" t="s">
        <v>408</v>
      </c>
      <c s="73" t="s">
        <v>408</v>
      </c>
      <c s="73" t="s">
        <v>408</v>
      </c>
      <c s="73" t="s">
        <v>408</v>
      </c>
      <c s="74" t="s">
        <v>408</v>
      </c>
      <c s="74" t="s">
        <v>408</v>
      </c>
      <c s="69" t="s">
        <v>428</v>
      </c>
      <c s="69" t="s">
        <v>426</v>
      </c>
      <c s="77"/>
    </row>
    <row r="121" spans="1:141" ht="15">
      <c r="A12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v>2544943.4509375</v>
      </c>
      <c s="76">
        <v>7</v>
      </c>
      <c s="75" t="s">
        <v>408</v>
      </c>
      <c s="76" t="s">
        <v>408</v>
      </c>
      <c s="75" t="s">
        <v>408</v>
      </c>
      <c s="76" t="s">
        <v>408</v>
      </c>
      <c s="75" t="s">
        <v>408</v>
      </c>
      <c s="76" t="s">
        <v>408</v>
      </c>
      <c s="75" t="s">
        <v>408</v>
      </c>
      <c s="76" t="s">
        <v>408</v>
      </c>
      <c s="75">
        <v>4233963.38828125</v>
      </c>
      <c s="76">
        <v>6</v>
      </c>
      <c s="65" t="s">
        <v>490</v>
      </c>
      <c s="65" t="s">
        <v>57</v>
      </c>
      <c s="72" t="s">
        <v>429</v>
      </c>
      <c s="72" t="s">
        <v>426</v>
      </c>
      <c s="72">
        <v>118332520.121765</v>
      </c>
      <c s="72">
        <v>24007001.600769</v>
      </c>
      <c s="72">
        <v>20.287746408228</v>
      </c>
      <c s="72">
        <v>94325518.5209961</v>
      </c>
      <c s="72">
        <v>79.712253591772</v>
      </c>
      <c s="72">
        <v>47600790.5543213</v>
      </c>
      <c s="72">
        <v>2.08582965833177</v>
      </c>
      <c s="72">
        <v>97.9141703416682</v>
      </c>
      <c s="72">
        <v>992871.406982422</v>
      </c>
      <c s="72">
        <v>2544943.4509375</v>
      </c>
      <c s="72">
        <v>4233963.38828125</v>
      </c>
      <c s="72">
        <v>2544943.4509375</v>
      </c>
      <c s="72">
        <v>9.56961031833432</v>
      </c>
      <c s="72">
        <v>1217980.74470184</v>
      </c>
      <c s="72" t="s">
        <v>408</v>
      </c>
      <c s="72">
        <v>203451.020446777</v>
      </c>
      <c s="72">
        <v>867469.134399414</v>
      </c>
      <c s="72">
        <v>0.699398982478733</v>
      </c>
      <c s="72">
        <v>-664018.113952637</v>
      </c>
      <c s="72">
        <v>-0.699398982478741</v>
      </c>
      <c s="72">
        <v>-1558150.93988037</v>
      </c>
      <c s="72">
        <v>0.0834697730693614</v>
      </c>
      <c s="72">
        <v>-0.0834697730693676</v>
      </c>
      <c s="72">
        <v>8532.48248291016</v>
      </c>
      <c s="72">
        <v>373495.266445313</v>
      </c>
      <c s="72">
        <v>1001154.21191406</v>
      </c>
      <c s="72">
        <v>373495.266445313</v>
      </c>
      <c s="72">
        <v>-0.23787950054423</v>
      </c>
      <c s="72" t="s">
        <v>408</v>
      </c>
      <c s="73" t="s">
        <v>408</v>
      </c>
      <c s="73" t="s">
        <v>408</v>
      </c>
      <c s="73" t="s">
        <v>408</v>
      </c>
      <c s="73" t="s">
        <v>408</v>
      </c>
      <c s="74" t="s">
        <v>408</v>
      </c>
      <c s="74" t="s">
        <v>408</v>
      </c>
      <c s="69" t="s">
        <v>429</v>
      </c>
      <c s="69" t="s">
        <v>426</v>
      </c>
      <c s="77"/>
    </row>
    <row r="122" spans="1:141" ht="15">
      <c r="A12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v>916905.73609375</v>
      </c>
      <c s="76">
        <v>8</v>
      </c>
      <c s="65" t="s">
        <v>495</v>
      </c>
      <c s="65" t="s">
        <v>57</v>
      </c>
      <c s="72" t="s">
        <v>430</v>
      </c>
      <c s="72" t="s">
        <v>426</v>
      </c>
      <c s="72">
        <v>118332520.121765</v>
      </c>
      <c s="72">
        <v>4219156.70227051</v>
      </c>
      <c s="72">
        <v>3.56550904005844</v>
      </c>
      <c s="72">
        <v>114113363.419495</v>
      </c>
      <c s="72">
        <v>96.4344909599416</v>
      </c>
      <c s="72">
        <v>47600790.5543213</v>
      </c>
      <c s="72">
        <v>0.466550120424704</v>
      </c>
      <c s="72">
        <v>99.5334498795753</v>
      </c>
      <c s="72">
        <v>222081.545654297</v>
      </c>
      <c s="72" t="s">
        <v>408</v>
      </c>
      <c s="72">
        <v>916905.73609375</v>
      </c>
      <c s="72" t="s">
        <v>408</v>
      </c>
      <c s="72">
        <v>11.2338798503624</v>
      </c>
      <c s="72">
        <v>227733.047140318</v>
      </c>
      <c s="72" t="s">
        <v>408</v>
      </c>
      <c s="72">
        <v>203451.020446777</v>
      </c>
      <c s="72">
        <v>-92331.1907958984</v>
      </c>
      <c s="72">
        <v>-0.0843020740615557</v>
      </c>
      <c s="72">
        <v>295782.211242676</v>
      </c>
      <c s="72">
        <v>0.0843020740615543</v>
      </c>
      <c s="72">
        <v>-1558150.93988037</v>
      </c>
      <c s="72">
        <v>-0.00604867914508661</v>
      </c>
      <c s="72">
        <v>0.00604867914509555</v>
      </c>
      <c s="72">
        <v>-10243.0217285156</v>
      </c>
      <c s="72" t="s">
        <v>408</v>
      </c>
      <c s="72">
        <v>168847.15703125</v>
      </c>
      <c s="72" t="s">
        <v>408</v>
      </c>
      <c s="72">
        <v>-0.132821498819347</v>
      </c>
      <c s="72" t="s">
        <v>408</v>
      </c>
      <c s="73" t="s">
        <v>408</v>
      </c>
      <c s="73" t="s">
        <v>408</v>
      </c>
      <c s="73" t="s">
        <v>408</v>
      </c>
      <c s="73" t="s">
        <v>408</v>
      </c>
      <c s="74" t="s">
        <v>408</v>
      </c>
      <c s="74" t="s">
        <v>408</v>
      </c>
      <c s="69" t="s">
        <v>430</v>
      </c>
      <c s="69" t="s">
        <v>426</v>
      </c>
      <c s="77"/>
    </row>
    <row r="123" spans="1:141" ht="15">
      <c r="A12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v>76863055.954375</v>
      </c>
      <c s="76">
        <v>1</v>
      </c>
      <c s="75" t="s">
        <v>408</v>
      </c>
      <c s="76" t="s">
        <v>408</v>
      </c>
      <c s="75" t="s">
        <v>408</v>
      </c>
      <c s="76" t="s">
        <v>408</v>
      </c>
      <c s="75" t="s">
        <v>408</v>
      </c>
      <c s="76" t="s">
        <v>408</v>
      </c>
      <c s="75" t="s">
        <v>408</v>
      </c>
      <c s="76" t="s">
        <v>408</v>
      </c>
      <c s="75">
        <v>100585439.396641</v>
      </c>
      <c s="76">
        <v>4</v>
      </c>
      <c s="75" t="s">
        <v>408</v>
      </c>
      <c s="76" t="s">
        <v>408</v>
      </c>
      <c s="75" t="s">
        <v>408</v>
      </c>
      <c s="76" t="s">
        <v>408</v>
      </c>
      <c s="75" t="s">
        <v>408</v>
      </c>
      <c s="76" t="s">
        <v>408</v>
      </c>
      <c s="75" t="s">
        <v>408</v>
      </c>
      <c s="76" t="s">
        <v>408</v>
      </c>
      <c s="65" t="s">
        <v>58</v>
      </c>
      <c s="65" t="s">
        <v>58</v>
      </c>
      <c s="72" t="s">
        <v>419</v>
      </c>
      <c s="72" t="s">
        <v>419</v>
      </c>
      <c s="72">
        <v>118332520.121765</v>
      </c>
      <c s="72">
        <v>92869205.3370361</v>
      </c>
      <c s="72">
        <v>78.4815579364599</v>
      </c>
      <c s="72">
        <v>25463314.784729</v>
      </c>
      <c s="72">
        <v>21.5184420635401</v>
      </c>
      <c s="72">
        <v>47600790.5543213</v>
      </c>
      <c s="72">
        <v>44.1871001769607</v>
      </c>
      <c s="72">
        <v>55.8128998230393</v>
      </c>
      <c s="72">
        <v>21033409.0072632</v>
      </c>
      <c s="72">
        <v>294450571.796641</v>
      </c>
      <c s="72">
        <v>100585439.396641</v>
      </c>
      <c s="72">
        <v>76863055.954375</v>
      </c>
      <c s="72">
        <v>41.3278799879628</v>
      </c>
      <c s="72">
        <v>12425609.3058247</v>
      </c>
      <c s="72" t="s">
        <v>408</v>
      </c>
      <c s="72">
        <v>203451.020446777</v>
      </c>
      <c s="72">
        <v>-654710.354187012</v>
      </c>
      <c s="72">
        <v>-0.689400069658362</v>
      </c>
      <c s="72">
        <v>858161.374633789</v>
      </c>
      <c s="72">
        <v>0.689400069658362</v>
      </c>
      <c s="72">
        <v>-1558150.93988037</v>
      </c>
      <c s="72">
        <v>-0.395520630723318</v>
      </c>
      <c s="72">
        <v>0.395520630723318</v>
      </c>
      <c s="72">
        <v>-882935.472167969</v>
      </c>
      <c s="72">
        <v>24611464.9328516</v>
      </c>
      <c s="72">
        <v>-11487686.2229687</v>
      </c>
      <c s="72">
        <v>9479953.38117185</v>
      </c>
      <c s="72">
        <v>-0.441420895073293</v>
      </c>
      <c s="72" t="s">
        <v>408</v>
      </c>
      <c s="73">
        <v>100585439.396641</v>
      </c>
      <c s="73">
        <v>76863055.954375</v>
      </c>
      <c s="73">
        <v>-11487686.2229687</v>
      </c>
      <c s="73">
        <v>9479953.38117185</v>
      </c>
      <c s="74">
        <v>-0.00158680010952436</v>
      </c>
      <c s="74">
        <v>0.0157493553275485</v>
      </c>
      <c s="69" t="s">
        <v>419</v>
      </c>
      <c s="69" t="s">
        <v>419</v>
      </c>
      <c s="77"/>
    </row>
    <row r="124" spans="1:141" ht="15">
      <c r="A12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v>48113124.2346094</v>
      </c>
      <c s="76">
        <v>1</v>
      </c>
      <c s="75" t="s">
        <v>408</v>
      </c>
      <c s="76" t="s">
        <v>408</v>
      </c>
      <c s="75" t="s">
        <v>408</v>
      </c>
      <c s="76" t="s">
        <v>408</v>
      </c>
      <c s="75" t="s">
        <v>408</v>
      </c>
      <c s="76" t="s">
        <v>408</v>
      </c>
      <c s="75" t="s">
        <v>408</v>
      </c>
      <c s="76" t="s">
        <v>408</v>
      </c>
      <c s="75" t="s">
        <v>408</v>
      </c>
      <c s="76" t="s">
        <v>408</v>
      </c>
      <c s="75" t="s">
        <v>408</v>
      </c>
      <c s="76" t="s">
        <v>408</v>
      </c>
      <c s="75" t="s">
        <v>408</v>
      </c>
      <c s="76" t="s">
        <v>408</v>
      </c>
      <c s="75">
        <v>64612145.6113281</v>
      </c>
      <c s="76">
        <v>1</v>
      </c>
      <c s="65" t="s">
        <v>474</v>
      </c>
      <c s="65" t="s">
        <v>58</v>
      </c>
      <c s="72" t="s">
        <v>431</v>
      </c>
      <c s="72" t="s">
        <v>419</v>
      </c>
      <c s="72">
        <v>118332520.121765</v>
      </c>
      <c s="72">
        <v>51772562.7313843</v>
      </c>
      <c s="72">
        <v>43.751762134458</v>
      </c>
      <c s="72">
        <v>66559957.3903809</v>
      </c>
      <c s="72">
        <v>56.248237865542</v>
      </c>
      <c s="72">
        <v>47600790.5543213</v>
      </c>
      <c s="72">
        <v>16.7287453034944</v>
      </c>
      <c s="72">
        <v>83.2712546965056</v>
      </c>
      <c s="72">
        <v>7963015.01428223</v>
      </c>
      <c s="72">
        <v>48113124.2346094</v>
      </c>
      <c s="72">
        <v>64612145.6113281</v>
      </c>
      <c s="72">
        <v>48113124.2346094</v>
      </c>
      <c s="72">
        <v>32.2319524502703</v>
      </c>
      <c s="72">
        <v>5694721.34867789</v>
      </c>
      <c s="72" t="s">
        <v>408</v>
      </c>
      <c s="72">
        <v>203451.020446777</v>
      </c>
      <c s="72">
        <v>1679543.25927734</v>
      </c>
      <c s="72">
        <v>1.34643391745275</v>
      </c>
      <c s="72">
        <v>-1476092.23883057</v>
      </c>
      <c s="72">
        <v>-1.34643391745275</v>
      </c>
      <c s="72">
        <v>-1558150.93988037</v>
      </c>
      <c s="72">
        <v>1.32147855210938</v>
      </c>
      <c s="72">
        <v>-1.32147855210937</v>
      </c>
      <c s="72">
        <v>388965.766113281</v>
      </c>
      <c s="72">
        <v>6111504.30453125</v>
      </c>
      <c s="72">
        <v>-4283417.88570313</v>
      </c>
      <c s="72">
        <v>6111504.30453125</v>
      </c>
      <c s="72">
        <v>0.624826561362113</v>
      </c>
      <c s="72" t="s">
        <v>408</v>
      </c>
      <c s="73" t="s">
        <v>408</v>
      </c>
      <c s="73" t="s">
        <v>408</v>
      </c>
      <c s="73" t="s">
        <v>408</v>
      </c>
      <c s="73" t="s">
        <v>408</v>
      </c>
      <c s="74" t="s">
        <v>408</v>
      </c>
      <c s="74" t="s">
        <v>408</v>
      </c>
      <c s="69" t="s">
        <v>431</v>
      </c>
      <c s="69" t="s">
        <v>419</v>
      </c>
      <c s="77"/>
    </row>
    <row r="125" spans="1:141" ht="15">
      <c r="A12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496</v>
      </c>
      <c s="65" t="s">
        <v>58</v>
      </c>
      <c s="72" t="s">
        <v>432</v>
      </c>
      <c s="72" t="s">
        <v>419</v>
      </c>
      <c s="72">
        <v>118332520.121765</v>
      </c>
      <c s="72" t="s">
        <v>408</v>
      </c>
      <c s="72" t="s">
        <v>408</v>
      </c>
      <c s="72" t="s">
        <v>408</v>
      </c>
      <c s="72" t="s">
        <v>408</v>
      </c>
      <c s="72">
        <v>47600790.5543213</v>
      </c>
      <c s="72" t="s">
        <v>408</v>
      </c>
      <c s="72" t="s">
        <v>408</v>
      </c>
      <c s="72" t="s">
        <v>408</v>
      </c>
      <c s="72" t="s">
        <v>408</v>
      </c>
      <c s="72" t="s">
        <v>408</v>
      </c>
      <c s="72" t="s">
        <v>408</v>
      </c>
      <c s="72" t="s">
        <v>408</v>
      </c>
      <c s="72" t="s">
        <v>408</v>
      </c>
      <c s="72" t="s">
        <v>408</v>
      </c>
      <c s="72">
        <v>203451.020446777</v>
      </c>
      <c s="72" t="s">
        <v>408</v>
      </c>
      <c s="72" t="s">
        <v>408</v>
      </c>
      <c s="72" t="s">
        <v>408</v>
      </c>
      <c s="72" t="s">
        <v>408</v>
      </c>
      <c s="72">
        <v>-1558150.93988037</v>
      </c>
      <c s="72" t="s">
        <v>408</v>
      </c>
      <c s="72" t="s">
        <v>408</v>
      </c>
      <c s="72" t="s">
        <v>408</v>
      </c>
      <c s="72" t="s">
        <v>408</v>
      </c>
      <c s="72" t="s">
        <v>408</v>
      </c>
      <c s="72" t="s">
        <v>408</v>
      </c>
      <c s="72" t="s">
        <v>408</v>
      </c>
      <c s="72" t="s">
        <v>408</v>
      </c>
      <c s="73" t="s">
        <v>408</v>
      </c>
      <c s="73" t="s">
        <v>408</v>
      </c>
      <c s="73" t="s">
        <v>408</v>
      </c>
      <c s="73" t="s">
        <v>408</v>
      </c>
      <c s="74" t="s">
        <v>408</v>
      </c>
      <c s="74" t="s">
        <v>408</v>
      </c>
      <c s="69" t="s">
        <v>432</v>
      </c>
      <c s="69" t="s">
        <v>419</v>
      </c>
      <c s="77"/>
    </row>
    <row r="126" spans="1:141" ht="15">
      <c r="A12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497</v>
      </c>
      <c s="65" t="s">
        <v>58</v>
      </c>
      <c s="72" t="s">
        <v>433</v>
      </c>
      <c s="72" t="s">
        <v>419</v>
      </c>
      <c s="72">
        <v>118332520.121765</v>
      </c>
      <c s="72">
        <v>494957.536193848</v>
      </c>
      <c s="72">
        <v>0.418276848734847</v>
      </c>
      <c s="72">
        <v>117837562.585571</v>
      </c>
      <c s="72">
        <v>99.5817231512652</v>
      </c>
      <c s="72">
        <v>47600790.5543213</v>
      </c>
      <c s="72" t="s">
        <v>408</v>
      </c>
      <c s="72" t="s">
        <v>408</v>
      </c>
      <c s="72" t="s">
        <v>408</v>
      </c>
      <c s="72" t="s">
        <v>408</v>
      </c>
      <c s="72" t="s">
        <v>408</v>
      </c>
      <c s="72" t="s">
        <v>408</v>
      </c>
      <c s="72" t="s">
        <v>408</v>
      </c>
      <c s="72" t="s">
        <v>408</v>
      </c>
      <c s="72" t="s">
        <v>408</v>
      </c>
      <c s="72">
        <v>203451.020446777</v>
      </c>
      <c s="72">
        <v>-8501.48541259766</v>
      </c>
      <c s="72">
        <v>-0.00791716552140076</v>
      </c>
      <c s="72">
        <v>211952.505859375</v>
      </c>
      <c s="72">
        <v>0.00791716552140542</v>
      </c>
      <c s="72">
        <v>-1558150.93988037</v>
      </c>
      <c s="72" t="s">
        <v>408</v>
      </c>
      <c s="72" t="s">
        <v>408</v>
      </c>
      <c s="72" t="s">
        <v>408</v>
      </c>
      <c s="72" t="s">
        <v>408</v>
      </c>
      <c s="72" t="s">
        <v>408</v>
      </c>
      <c s="72" t="s">
        <v>408</v>
      </c>
      <c s="72" t="s">
        <v>408</v>
      </c>
      <c s="72" t="s">
        <v>408</v>
      </c>
      <c s="73" t="s">
        <v>408</v>
      </c>
      <c s="73" t="s">
        <v>408</v>
      </c>
      <c s="73" t="s">
        <v>408</v>
      </c>
      <c s="73" t="s">
        <v>408</v>
      </c>
      <c s="74" t="s">
        <v>408</v>
      </c>
      <c s="74" t="s">
        <v>408</v>
      </c>
      <c s="69" t="s">
        <v>433</v>
      </c>
      <c s="69" t="s">
        <v>419</v>
      </c>
      <c s="77"/>
    </row>
    <row r="127" spans="1:141" ht="15">
      <c r="A12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v>24633204.7961719</v>
      </c>
      <c s="76">
        <v>2</v>
      </c>
      <c s="75" t="s">
        <v>408</v>
      </c>
      <c s="76" t="s">
        <v>408</v>
      </c>
      <c s="75" t="s">
        <v>408</v>
      </c>
      <c s="76" t="s">
        <v>408</v>
      </c>
      <c s="75" t="s">
        <v>408</v>
      </c>
      <c s="76" t="s">
        <v>408</v>
      </c>
      <c s="75" t="s">
        <v>408</v>
      </c>
      <c s="76" t="s">
        <v>408</v>
      </c>
      <c s="75" t="s">
        <v>408</v>
      </c>
      <c s="76" t="s">
        <v>408</v>
      </c>
      <c s="75" t="s">
        <v>408</v>
      </c>
      <c s="76" t="s">
        <v>408</v>
      </c>
      <c s="75" t="s">
        <v>408</v>
      </c>
      <c s="76" t="s">
        <v>408</v>
      </c>
      <c s="75">
        <v>26567710.4286719</v>
      </c>
      <c s="76">
        <v>3</v>
      </c>
      <c s="65" t="s">
        <v>479</v>
      </c>
      <c s="65" t="s">
        <v>58</v>
      </c>
      <c s="72" t="s">
        <v>434</v>
      </c>
      <c s="72" t="s">
        <v>419</v>
      </c>
      <c s="72">
        <v>118332520.121765</v>
      </c>
      <c s="72">
        <v>26819911.0421753</v>
      </c>
      <c s="72">
        <v>22.6648693145193</v>
      </c>
      <c s="72">
        <v>91512609.0795898</v>
      </c>
      <c s="72">
        <v>77.3351306854807</v>
      </c>
      <c s="72">
        <v>47600790.5543213</v>
      </c>
      <c s="72">
        <v>6.380471006274</v>
      </c>
      <c s="72">
        <v>93.619528993726</v>
      </c>
      <c s="72">
        <v>3037154.64007568</v>
      </c>
      <c s="72">
        <v>24633204.7961719</v>
      </c>
      <c s="72">
        <v>26567710.4286719</v>
      </c>
      <c s="72">
        <v>24633204.7961719</v>
      </c>
      <c s="72">
        <v>26.1356396216241</v>
      </c>
      <c s="72">
        <v>3313026.32628666</v>
      </c>
      <c s="72" t="s">
        <v>408</v>
      </c>
      <c s="72">
        <v>203451.020446777</v>
      </c>
      <c s="72">
        <v>-948082.818481445</v>
      </c>
      <c s="72">
        <v>-0.841617337669909</v>
      </c>
      <c s="72">
        <v>1151533.83892822</v>
      </c>
      <c s="72">
        <v>0.841617337669902</v>
      </c>
      <c s="72">
        <v>-1558150.93988037</v>
      </c>
      <c s="72">
        <v>-0.435660176002775</v>
      </c>
      <c s="72">
        <v>0.43566017600277</v>
      </c>
      <c s="72">
        <v>-313583.299987793</v>
      </c>
      <c s="72">
        <v>2761854.91148438</v>
      </c>
      <c s="72">
        <v>-6605762.57609375</v>
      </c>
      <c s="72">
        <v>2761854.91148438</v>
      </c>
      <c s="72">
        <v>-1.02757664861654</v>
      </c>
      <c s="72" t="s">
        <v>408</v>
      </c>
      <c s="73" t="s">
        <v>408</v>
      </c>
      <c s="73" t="s">
        <v>408</v>
      </c>
      <c s="73" t="s">
        <v>408</v>
      </c>
      <c s="73" t="s">
        <v>408</v>
      </c>
      <c s="74" t="s">
        <v>408</v>
      </c>
      <c s="74" t="s">
        <v>408</v>
      </c>
      <c s="69" t="s">
        <v>434</v>
      </c>
      <c s="69" t="s">
        <v>419</v>
      </c>
      <c s="77"/>
    </row>
    <row r="128" spans="1:141" ht="15">
      <c r="A12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v>68652093.9317188</v>
      </c>
      <c s="76">
        <v>2</v>
      </c>
      <c s="75" t="s">
        <v>408</v>
      </c>
      <c s="76" t="s">
        <v>408</v>
      </c>
      <c s="75" t="s">
        <v>408</v>
      </c>
      <c s="76" t="s">
        <v>408</v>
      </c>
      <c s="75" t="s">
        <v>408</v>
      </c>
      <c s="76" t="s">
        <v>408</v>
      </c>
      <c s="75" t="s">
        <v>408</v>
      </c>
      <c s="76" t="s">
        <v>408</v>
      </c>
      <c s="75">
        <v>161545298.221289</v>
      </c>
      <c s="76">
        <v>2</v>
      </c>
      <c s="75" t="s">
        <v>408</v>
      </c>
      <c s="76" t="s">
        <v>408</v>
      </c>
      <c s="75" t="s">
        <v>408</v>
      </c>
      <c s="76" t="s">
        <v>408</v>
      </c>
      <c s="75" t="s">
        <v>408</v>
      </c>
      <c s="76" t="s">
        <v>408</v>
      </c>
      <c s="75" t="s">
        <v>408</v>
      </c>
      <c s="76" t="s">
        <v>408</v>
      </c>
      <c s="65" t="s">
        <v>59</v>
      </c>
      <c s="65" t="s">
        <v>59</v>
      </c>
      <c s="72" t="s">
        <v>435</v>
      </c>
      <c s="72" t="s">
        <v>435</v>
      </c>
      <c s="72">
        <v>118332520.121765</v>
      </c>
      <c s="72">
        <v>116527031.579956</v>
      </c>
      <c s="72">
        <v>98.4742245496409</v>
      </c>
      <c s="72">
        <v>1805488.54180908</v>
      </c>
      <c s="72">
        <v>1.52577545035906</v>
      </c>
      <c s="72">
        <v>47600790.5543213</v>
      </c>
      <c s="72">
        <v>36.5418928823415</v>
      </c>
      <c s="72">
        <v>63.4581071176585</v>
      </c>
      <c s="72">
        <v>17394229.8955078</v>
      </c>
      <c s="72">
        <v>68652093.9317188</v>
      </c>
      <c s="72">
        <v>161545298.221289</v>
      </c>
      <c s="72">
        <v>68652093.9317188</v>
      </c>
      <c s="72">
        <v>37.5844014205915</v>
      </c>
      <c s="72">
        <v>11267854.12847</v>
      </c>
      <c s="72" t="s">
        <v>408</v>
      </c>
      <c s="72">
        <v>203451.020446777</v>
      </c>
      <c s="72">
        <v>155204.85345459</v>
      </c>
      <c s="72">
        <v>-0.0382141005699452</v>
      </c>
      <c s="72">
        <v>48246.1669921875</v>
      </c>
      <c s="72">
        <v>0.0382141005699452</v>
      </c>
      <c s="72">
        <v>-1558150.93988037</v>
      </c>
      <c s="72">
        <v>-2.52252763865848</v>
      </c>
      <c s="72">
        <v>2.52252763865848</v>
      </c>
      <c s="72">
        <v>-1809425.73345947</v>
      </c>
      <c s="72">
        <v>-8527706.66109374</v>
      </c>
      <c s="72">
        <v>-18916806.2953125</v>
      </c>
      <c s="72">
        <v>-8527706.66109374</v>
      </c>
      <c s="72">
        <v>-2.23573112575667</v>
      </c>
      <c s="72" t="s">
        <v>408</v>
      </c>
      <c s="73">
        <v>161545298.221289</v>
      </c>
      <c s="73">
        <v>68652093.9317188</v>
      </c>
      <c s="73">
        <v>-18916806.2953125</v>
      </c>
      <c s="73">
        <v>-8527706.66109374</v>
      </c>
      <c s="74">
        <v>-0.00318449771213666</v>
      </c>
      <c s="74">
        <v>-0.0204926277338773</v>
      </c>
      <c s="69" t="s">
        <v>435</v>
      </c>
      <c s="69" t="s">
        <v>435</v>
      </c>
      <c s="77"/>
    </row>
    <row r="129" spans="1:141" ht="15">
      <c r="A12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498</v>
      </c>
      <c s="65" t="s">
        <v>59</v>
      </c>
      <c s="72" t="s">
        <v>436</v>
      </c>
      <c s="72" t="s">
        <v>435</v>
      </c>
      <c s="72">
        <v>118332520.121765</v>
      </c>
      <c s="72">
        <v>1492669.7220459</v>
      </c>
      <c s="72">
        <v>1.26141970145648</v>
      </c>
      <c s="72">
        <v>116839850.399719</v>
      </c>
      <c s="72">
        <v>98.7385802985435</v>
      </c>
      <c s="72">
        <v>47600790.5543213</v>
      </c>
      <c s="72" t="s">
        <v>408</v>
      </c>
      <c s="72" t="s">
        <v>408</v>
      </c>
      <c s="72" t="s">
        <v>408</v>
      </c>
      <c s="72" t="s">
        <v>408</v>
      </c>
      <c s="72" t="s">
        <v>408</v>
      </c>
      <c s="72" t="s">
        <v>408</v>
      </c>
      <c s="72" t="s">
        <v>408</v>
      </c>
      <c s="72" t="s">
        <v>408</v>
      </c>
      <c s="72" t="s">
        <v>408</v>
      </c>
      <c s="72">
        <v>203451.020446777</v>
      </c>
      <c s="72">
        <v>-227117.707824707</v>
      </c>
      <c s="72">
        <v>-0.194434850648352</v>
      </c>
      <c s="72">
        <v>430568.728271484</v>
      </c>
      <c s="72">
        <v>0.194434850648349</v>
      </c>
      <c s="72">
        <v>-1558150.93988037</v>
      </c>
      <c s="72" t="s">
        <v>408</v>
      </c>
      <c s="72" t="s">
        <v>408</v>
      </c>
      <c s="72" t="s">
        <v>408</v>
      </c>
      <c s="72" t="s">
        <v>408</v>
      </c>
      <c s="72" t="s">
        <v>408</v>
      </c>
      <c s="72" t="s">
        <v>408</v>
      </c>
      <c s="72" t="s">
        <v>408</v>
      </c>
      <c s="72" t="s">
        <v>408</v>
      </c>
      <c s="73" t="s">
        <v>408</v>
      </c>
      <c s="73" t="s">
        <v>408</v>
      </c>
      <c s="73" t="s">
        <v>408</v>
      </c>
      <c s="73" t="s">
        <v>408</v>
      </c>
      <c s="74" t="s">
        <v>408</v>
      </c>
      <c s="74" t="s">
        <v>408</v>
      </c>
      <c s="69" t="s">
        <v>436</v>
      </c>
      <c s="69" t="s">
        <v>435</v>
      </c>
      <c s="77"/>
    </row>
    <row r="130" spans="1:141" ht="15">
      <c r="A13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v>2693536.8515625</v>
      </c>
      <c s="76">
        <v>3</v>
      </c>
      <c s="75" t="s">
        <v>408</v>
      </c>
      <c s="76" t="s">
        <v>408</v>
      </c>
      <c s="75" t="s">
        <v>408</v>
      </c>
      <c s="76" t="s">
        <v>408</v>
      </c>
      <c s="75" t="s">
        <v>408</v>
      </c>
      <c s="76" t="s">
        <v>408</v>
      </c>
      <c s="75" t="s">
        <v>408</v>
      </c>
      <c s="76" t="s">
        <v>408</v>
      </c>
      <c s="75">
        <v>4330943.74804688</v>
      </c>
      <c s="76">
        <v>4</v>
      </c>
      <c s="75" t="s">
        <v>408</v>
      </c>
      <c s="76" t="s">
        <v>408</v>
      </c>
      <c s="75" t="s">
        <v>408</v>
      </c>
      <c s="76" t="s">
        <v>408</v>
      </c>
      <c s="65" t="s">
        <v>483</v>
      </c>
      <c s="65" t="s">
        <v>59</v>
      </c>
      <c s="72" t="s">
        <v>437</v>
      </c>
      <c s="72" t="s">
        <v>435</v>
      </c>
      <c s="72">
        <v>118332520.121765</v>
      </c>
      <c s="72">
        <v>13263126.3366089</v>
      </c>
      <c s="72">
        <v>11.2083528035751</v>
      </c>
      <c s="72">
        <v>105069393.785156</v>
      </c>
      <c s="72">
        <v>88.7916471964249</v>
      </c>
      <c s="72">
        <v>47600790.5543213</v>
      </c>
      <c s="72">
        <v>1.29250564061738</v>
      </c>
      <c s="72">
        <v>98.7074943593826</v>
      </c>
      <c s="72">
        <v>615242.902893066</v>
      </c>
      <c s="72">
        <v>2693536.8515625</v>
      </c>
      <c s="72">
        <v>4330943.74804688</v>
      </c>
      <c s="72">
        <v>2693536.8515625</v>
      </c>
      <c s="72">
        <v>11.1496484027971</v>
      </c>
      <c s="72">
        <v>1089286.94837532</v>
      </c>
      <c s="72" t="s">
        <v>408</v>
      </c>
      <c s="72">
        <v>203451.020446777</v>
      </c>
      <c s="72">
        <v>-630051.152404785</v>
      </c>
      <c s="72">
        <v>-0.552662156339341</v>
      </c>
      <c s="72">
        <v>833502.172851563</v>
      </c>
      <c s="72">
        <v>0.552662156339352</v>
      </c>
      <c s="72">
        <v>-1558150.93988037</v>
      </c>
      <c s="72">
        <v>-0.340819471556604</v>
      </c>
      <c s="72">
        <v>0.3408194715566</v>
      </c>
      <c s="72">
        <v>-187682.433410645</v>
      </c>
      <c s="72">
        <v>-72901.9990625</v>
      </c>
      <c s="72">
        <v>-1673560.78960938</v>
      </c>
      <c s="72">
        <v>-72901.9990625</v>
      </c>
      <c s="72">
        <v>-0.81038455589958</v>
      </c>
      <c s="72" t="s">
        <v>408</v>
      </c>
      <c s="73" t="s">
        <v>408</v>
      </c>
      <c s="73" t="s">
        <v>408</v>
      </c>
      <c s="73" t="s">
        <v>408</v>
      </c>
      <c s="73" t="s">
        <v>408</v>
      </c>
      <c s="74" t="s">
        <v>408</v>
      </c>
      <c s="74" t="s">
        <v>408</v>
      </c>
      <c s="69" t="s">
        <v>437</v>
      </c>
      <c s="69" t="s">
        <v>435</v>
      </c>
      <c s="77"/>
    </row>
    <row r="131" spans="1:141" ht="15">
      <c r="A13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v>1147552.7371875</v>
      </c>
      <c s="76">
        <v>5</v>
      </c>
      <c s="75" t="s">
        <v>408</v>
      </c>
      <c s="76" t="s">
        <v>408</v>
      </c>
      <c s="75" t="s">
        <v>408</v>
      </c>
      <c s="76" t="s">
        <v>408</v>
      </c>
      <c s="65" t="s">
        <v>488</v>
      </c>
      <c s="65" t="s">
        <v>59</v>
      </c>
      <c s="72" t="s">
        <v>438</v>
      </c>
      <c s="72" t="s">
        <v>435</v>
      </c>
      <c s="72">
        <v>118332520.121765</v>
      </c>
      <c s="72">
        <v>21635640.5514526</v>
      </c>
      <c s="72">
        <v>18.2837655525205</v>
      </c>
      <c s="72">
        <v>96696879.5703125</v>
      </c>
      <c s="72">
        <v>81.7162344474795</v>
      </c>
      <c s="72">
        <v>47600790.5543213</v>
      </c>
      <c s="72">
        <v>0.649475804436067</v>
      </c>
      <c s="72">
        <v>99.3505241955639</v>
      </c>
      <c s="72">
        <v>309155.617370605</v>
      </c>
      <c s="72" t="s">
        <v>408</v>
      </c>
      <c s="72">
        <v>1147552.7371875</v>
      </c>
      <c s="72" t="s">
        <v>408</v>
      </c>
      <c s="72">
        <v>3.51542291577845</v>
      </c>
      <c s="72">
        <v>670232.619110994</v>
      </c>
      <c s="72" t="s">
        <v>408</v>
      </c>
      <c s="72">
        <v>203451.020446777</v>
      </c>
      <c s="72">
        <v>1746349.73632813</v>
      </c>
      <c s="72">
        <v>1.44685067082811</v>
      </c>
      <c s="72">
        <v>-1542898.71588135</v>
      </c>
      <c s="72">
        <v>-1.44685067082811</v>
      </c>
      <c s="72">
        <v>-1558150.93988037</v>
      </c>
      <c s="72">
        <v>-0.00483043584073994</v>
      </c>
      <c s="72">
        <v>0.00483043584074494</v>
      </c>
      <c s="72">
        <v>-12494.4044799805</v>
      </c>
      <c s="72" t="s">
        <v>408</v>
      </c>
      <c s="72">
        <v>-175857.8359375</v>
      </c>
      <c s="72" t="s">
        <v>408</v>
      </c>
      <c s="72">
        <v>0.267734181254126</v>
      </c>
      <c s="72" t="s">
        <v>408</v>
      </c>
      <c s="73" t="s">
        <v>408</v>
      </c>
      <c s="73" t="s">
        <v>408</v>
      </c>
      <c s="73" t="s">
        <v>408</v>
      </c>
      <c s="73" t="s">
        <v>408</v>
      </c>
      <c s="74" t="s">
        <v>408</v>
      </c>
      <c s="74" t="s">
        <v>408</v>
      </c>
      <c s="69" t="s">
        <v>438</v>
      </c>
      <c s="69" t="s">
        <v>435</v>
      </c>
      <c s="77"/>
    </row>
    <row r="132" spans="1:141" ht="15">
      <c r="A13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v>9606787.74203125</v>
      </c>
      <c s="76">
        <v>1</v>
      </c>
      <c s="75" t="s">
        <v>408</v>
      </c>
      <c s="76" t="s">
        <v>408</v>
      </c>
      <c s="75" t="s">
        <v>408</v>
      </c>
      <c s="76" t="s">
        <v>408</v>
      </c>
      <c s="75" t="s">
        <v>408</v>
      </c>
      <c s="76" t="s">
        <v>408</v>
      </c>
      <c s="75" t="s">
        <v>408</v>
      </c>
      <c s="76" t="s">
        <v>408</v>
      </c>
      <c s="75">
        <v>24219991.7334375</v>
      </c>
      <c s="76">
        <v>1</v>
      </c>
      <c s="75" t="s">
        <v>408</v>
      </c>
      <c s="76" t="s">
        <v>408</v>
      </c>
      <c s="75" t="s">
        <v>408</v>
      </c>
      <c s="76" t="s">
        <v>408</v>
      </c>
      <c s="65" t="s">
        <v>475</v>
      </c>
      <c s="65" t="s">
        <v>59</v>
      </c>
      <c s="72" t="s">
        <v>439</v>
      </c>
      <c s="72" t="s">
        <v>435</v>
      </c>
      <c s="72">
        <v>118332520.121765</v>
      </c>
      <c s="72">
        <v>21961141.5050049</v>
      </c>
      <c s="72">
        <v>18.5588386712348</v>
      </c>
      <c s="72">
        <v>96371378.6167603</v>
      </c>
      <c s="72">
        <v>81.4411613287652</v>
      </c>
      <c s="72">
        <v>47600790.5543213</v>
      </c>
      <c s="72">
        <v>5.96446238534994</v>
      </c>
      <c s="72">
        <v>94.0355376146501</v>
      </c>
      <c s="72">
        <v>2839131.2477417</v>
      </c>
      <c s="72">
        <v>9606787.74203125</v>
      </c>
      <c s="72">
        <v>24219991.7334375</v>
      </c>
      <c s="72">
        <v>9606787.74203125</v>
      </c>
      <c s="72">
        <v>28.964064349528</v>
      </c>
      <c s="72">
        <v>1995930.84327404</v>
      </c>
      <c s="72" t="s">
        <v>408</v>
      </c>
      <c s="72">
        <v>203451.020446777</v>
      </c>
      <c s="72">
        <v>188702.848693848</v>
      </c>
      <c s="72">
        <v>0.127779473064912</v>
      </c>
      <c s="72">
        <v>14748.1717529297</v>
      </c>
      <c s="72">
        <v>-0.127779473064905</v>
      </c>
      <c s="72">
        <v>-1558150.93988037</v>
      </c>
      <c s="72">
        <v>-0.45174086065679</v>
      </c>
      <c s="72">
        <v>0.451740860656798</v>
      </c>
      <c s="72">
        <v>-315006.352111816</v>
      </c>
      <c s="72">
        <v>-2020330.4125</v>
      </c>
      <c s="72">
        <v>-1024781.0515625</v>
      </c>
      <c s="72">
        <v>-2020330.4125</v>
      </c>
      <c s="72">
        <v>-2.45999678662468</v>
      </c>
      <c s="72" t="s">
        <v>408</v>
      </c>
      <c s="73" t="s">
        <v>408</v>
      </c>
      <c s="73" t="s">
        <v>408</v>
      </c>
      <c s="73" t="s">
        <v>408</v>
      </c>
      <c s="73" t="s">
        <v>408</v>
      </c>
      <c s="74" t="s">
        <v>408</v>
      </c>
      <c s="74" t="s">
        <v>408</v>
      </c>
      <c s="69" t="s">
        <v>439</v>
      </c>
      <c s="69" t="s">
        <v>435</v>
      </c>
      <c s="77"/>
    </row>
    <row r="133" spans="1:141" ht="15">
      <c r="A13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v>3266935.60015625</v>
      </c>
      <c s="76">
        <v>2</v>
      </c>
      <c s="75" t="s">
        <v>408</v>
      </c>
      <c s="76" t="s">
        <v>408</v>
      </c>
      <c s="75" t="s">
        <v>408</v>
      </c>
      <c s="76" t="s">
        <v>408</v>
      </c>
      <c s="75" t="s">
        <v>408</v>
      </c>
      <c s="76" t="s">
        <v>408</v>
      </c>
      <c s="75" t="s">
        <v>408</v>
      </c>
      <c s="76" t="s">
        <v>408</v>
      </c>
      <c s="75">
        <v>11928887.3397656</v>
      </c>
      <c s="76">
        <v>2</v>
      </c>
      <c s="75" t="s">
        <v>408</v>
      </c>
      <c s="76" t="s">
        <v>408</v>
      </c>
      <c s="75" t="s">
        <v>408</v>
      </c>
      <c s="76" t="s">
        <v>408</v>
      </c>
      <c s="65" t="s">
        <v>480</v>
      </c>
      <c s="65" t="s">
        <v>59</v>
      </c>
      <c s="72" t="s">
        <v>440</v>
      </c>
      <c s="72" t="s">
        <v>435</v>
      </c>
      <c s="72">
        <v>118332520.121765</v>
      </c>
      <c s="72">
        <v>8437697.46807861</v>
      </c>
      <c s="72">
        <v>7.13049756685326</v>
      </c>
      <c s="72">
        <v>109894822.653687</v>
      </c>
      <c s="72">
        <v>92.8695024331467</v>
      </c>
      <c s="72">
        <v>47600790.5543213</v>
      </c>
      <c s="72">
        <v>2.3485867237337</v>
      </c>
      <c s="72">
        <v>97.6514132762663</v>
      </c>
      <c s="72">
        <v>1117945.84735107</v>
      </c>
      <c s="72">
        <v>3266935.60015625</v>
      </c>
      <c s="72">
        <v>11928887.3397656</v>
      </c>
      <c s="72">
        <v>3266935.60015625</v>
      </c>
      <c s="72">
        <v>32.0721041927827</v>
      </c>
      <c s="72">
        <v>885984.955616353</v>
      </c>
      <c s="72" t="s">
        <v>408</v>
      </c>
      <c s="72">
        <v>203451.020446777</v>
      </c>
      <c s="72">
        <v>-88837.3253173828</v>
      </c>
      <c s="72">
        <v>-0.0874843052317971</v>
      </c>
      <c s="72">
        <v>292288.34576416</v>
      </c>
      <c s="72">
        <v>0.0874843052317971</v>
      </c>
      <c s="72">
        <v>-1558150.93988037</v>
      </c>
      <c s="72">
        <v>-0.132347590978227</v>
      </c>
      <c s="72">
        <v>0.132347590978227</v>
      </c>
      <c s="72">
        <v>-101655.200927734</v>
      </c>
      <c s="72">
        <v>-415317.30640625</v>
      </c>
      <c s="72">
        <v>-1215685.41117187</v>
      </c>
      <c s="72">
        <v>-415317.30640625</v>
      </c>
      <c s="72">
        <v>1.07836743754784</v>
      </c>
      <c s="72" t="s">
        <v>408</v>
      </c>
      <c s="73" t="s">
        <v>408</v>
      </c>
      <c s="73" t="s">
        <v>408</v>
      </c>
      <c s="73" t="s">
        <v>408</v>
      </c>
      <c s="73" t="s">
        <v>408</v>
      </c>
      <c s="74" t="s">
        <v>408</v>
      </c>
      <c s="74" t="s">
        <v>408</v>
      </c>
      <c s="69" t="s">
        <v>440</v>
      </c>
      <c s="69" t="s">
        <v>435</v>
      </c>
      <c s="77"/>
    </row>
    <row r="134" spans="1:141" ht="15">
      <c r="A13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v>2296829.99796875</v>
      </c>
      <c s="76">
        <v>4</v>
      </c>
      <c s="75" t="s">
        <v>408</v>
      </c>
      <c s="76" t="s">
        <v>408</v>
      </c>
      <c s="75" t="s">
        <v>408</v>
      </c>
      <c s="76" t="s">
        <v>408</v>
      </c>
      <c s="75" t="s">
        <v>408</v>
      </c>
      <c s="76" t="s">
        <v>408</v>
      </c>
      <c s="75" t="s">
        <v>408</v>
      </c>
      <c s="76" t="s">
        <v>408</v>
      </c>
      <c s="75">
        <v>6077403.0778125</v>
      </c>
      <c s="76">
        <v>3</v>
      </c>
      <c s="75" t="s">
        <v>408</v>
      </c>
      <c s="76" t="s">
        <v>408</v>
      </c>
      <c s="75" t="s">
        <v>408</v>
      </c>
      <c s="76" t="s">
        <v>408</v>
      </c>
      <c s="65" t="s">
        <v>485</v>
      </c>
      <c s="65" t="s">
        <v>59</v>
      </c>
      <c s="72" t="s">
        <v>441</v>
      </c>
      <c s="72" t="s">
        <v>435</v>
      </c>
      <c s="72">
        <v>118332520.121765</v>
      </c>
      <c s="72">
        <v>13183105.1682739</v>
      </c>
      <c s="72">
        <v>11.1407288163122</v>
      </c>
      <c s="72">
        <v>105149414.953491</v>
      </c>
      <c s="72">
        <v>88.8592711836878</v>
      </c>
      <c s="72">
        <v>47600790.5543213</v>
      </c>
      <c s="72">
        <v>1.42880538001974</v>
      </c>
      <c s="72">
        <v>98.5711946199803</v>
      </c>
      <c s="72">
        <v>680122.65637207</v>
      </c>
      <c s="72">
        <v>2296829.99796875</v>
      </c>
      <c s="72">
        <v>6077403.0778125</v>
      </c>
      <c s="72">
        <v>2296829.99796875</v>
      </c>
      <c s="72">
        <v>14.5207414357814</v>
      </c>
      <c s="72">
        <v>1191101.02348619</v>
      </c>
      <c s="72" t="s">
        <v>408</v>
      </c>
      <c s="72">
        <v>203451.020446777</v>
      </c>
      <c s="72">
        <v>11403.7123413086</v>
      </c>
      <c s="72">
        <v>-0.00953382110463252</v>
      </c>
      <c s="72">
        <v>192047.308105469</v>
      </c>
      <c s="72">
        <v>0.00953382110462542</v>
      </c>
      <c s="72">
        <v>-1558150.93988037</v>
      </c>
      <c s="72">
        <v>-0.0574451925737627</v>
      </c>
      <c s="72">
        <v>0.0574451925737662</v>
      </c>
      <c s="72">
        <v>-50502.3930664063</v>
      </c>
      <c s="72">
        <v>-194051.81640625</v>
      </c>
      <c s="72">
        <v>-819229.838593749</v>
      </c>
      <c s="72">
        <v>-194051.81640625</v>
      </c>
      <c s="72">
        <v>-0.814939578856103</v>
      </c>
      <c s="72" t="s">
        <v>408</v>
      </c>
      <c s="73" t="s">
        <v>408</v>
      </c>
      <c s="73" t="s">
        <v>408</v>
      </c>
      <c s="73" t="s">
        <v>408</v>
      </c>
      <c s="73" t="s">
        <v>408</v>
      </c>
      <c s="74" t="s">
        <v>408</v>
      </c>
      <c s="74" t="s">
        <v>408</v>
      </c>
      <c s="69" t="s">
        <v>441</v>
      </c>
      <c s="69" t="s">
        <v>435</v>
      </c>
      <c s="77"/>
    </row>
    <row r="135" spans="1:141" ht="15">
      <c r="A13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499</v>
      </c>
      <c s="65" t="s">
        <v>59</v>
      </c>
      <c s="72" t="s">
        <v>442</v>
      </c>
      <c s="72" t="s">
        <v>435</v>
      </c>
      <c s="72">
        <v>118332520.121765</v>
      </c>
      <c s="72">
        <v>11239241.6190186</v>
      </c>
      <c s="72">
        <v>9.49801593632358</v>
      </c>
      <c s="72">
        <v>107093278.502747</v>
      </c>
      <c s="72">
        <v>90.5019840636764</v>
      </c>
      <c s="72">
        <v>47600790.5543213</v>
      </c>
      <c s="72" t="s">
        <v>408</v>
      </c>
      <c s="72" t="s">
        <v>408</v>
      </c>
      <c s="72" t="s">
        <v>408</v>
      </c>
      <c s="72" t="s">
        <v>408</v>
      </c>
      <c s="72" t="s">
        <v>408</v>
      </c>
      <c s="72" t="s">
        <v>408</v>
      </c>
      <c s="72">
        <v>1.46687301132916</v>
      </c>
      <c s="72">
        <v>441095.436465621</v>
      </c>
      <c s="72" t="s">
        <v>408</v>
      </c>
      <c s="72">
        <v>203451.020446777</v>
      </c>
      <c s="72">
        <v>711100.143798828</v>
      </c>
      <c s="72">
        <v>0.585610585706766</v>
      </c>
      <c s="72">
        <v>-507649.123352051</v>
      </c>
      <c s="72">
        <v>-0.585610585706775</v>
      </c>
      <c s="72">
        <v>-1558150.93988037</v>
      </c>
      <c s="72" t="s">
        <v>408</v>
      </c>
      <c s="72" t="s">
        <v>408</v>
      </c>
      <c s="72" t="s">
        <v>408</v>
      </c>
      <c s="72" t="s">
        <v>408</v>
      </c>
      <c s="72" t="s">
        <v>408</v>
      </c>
      <c s="72" t="s">
        <v>408</v>
      </c>
      <c s="72">
        <v>-0.414297792407342</v>
      </c>
      <c s="72" t="s">
        <v>408</v>
      </c>
      <c s="73" t="s">
        <v>408</v>
      </c>
      <c s="73" t="s">
        <v>408</v>
      </c>
      <c s="73" t="s">
        <v>408</v>
      </c>
      <c s="73" t="s">
        <v>408</v>
      </c>
      <c s="74" t="s">
        <v>408</v>
      </c>
      <c s="74" t="s">
        <v>408</v>
      </c>
      <c s="69" t="s">
        <v>442</v>
      </c>
      <c s="69" t="s">
        <v>435</v>
      </c>
      <c s="77"/>
    </row>
    <row r="136" spans="1:141" ht="15">
      <c r="A13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500</v>
      </c>
      <c s="65" t="s">
        <v>59</v>
      </c>
      <c s="72" t="s">
        <v>443</v>
      </c>
      <c s="72" t="s">
        <v>435</v>
      </c>
      <c s="72">
        <v>118332520.121765</v>
      </c>
      <c s="72">
        <v>1848619.98944092</v>
      </c>
      <c s="72">
        <v>1.56222481152153</v>
      </c>
      <c s="72">
        <v>116483900.132324</v>
      </c>
      <c s="72">
        <v>98.4377751884785</v>
      </c>
      <c s="72">
        <v>47600790.5543213</v>
      </c>
      <c s="72">
        <v>0.184623637701776</v>
      </c>
      <c s="72">
        <v>99.8153763622982</v>
      </c>
      <c s="72">
        <v>87882.3110961914</v>
      </c>
      <c s="72" t="s">
        <v>408</v>
      </c>
      <c s="72" t="s">
        <v>408</v>
      </c>
      <c s="72" t="s">
        <v>408</v>
      </c>
      <c s="72">
        <v>11.8002231956674</v>
      </c>
      <c s="72">
        <v>144960.244123544</v>
      </c>
      <c s="72" t="s">
        <v>408</v>
      </c>
      <c s="72">
        <v>203451.020446777</v>
      </c>
      <c s="72">
        <v>83308.2944335938</v>
      </c>
      <c s="72">
        <v>0.0678325265089101</v>
      </c>
      <c s="72">
        <v>120142.726013184</v>
      </c>
      <c s="72">
        <v>-0.0678325265089086</v>
      </c>
      <c s="72">
        <v>-1558150.93988037</v>
      </c>
      <c s="72">
        <v>0.0295136370984556</v>
      </c>
      <c s="72">
        <v>-0.0295136370984608</v>
      </c>
      <c s="72">
        <v>11631.8766479492</v>
      </c>
      <c s="72" t="s">
        <v>408</v>
      </c>
      <c s="72" t="s">
        <v>408</v>
      </c>
      <c s="72" t="s">
        <v>408</v>
      </c>
      <c s="72">
        <v>0.462488387454888</v>
      </c>
      <c s="72" t="s">
        <v>408</v>
      </c>
      <c s="73" t="s">
        <v>408</v>
      </c>
      <c s="73" t="s">
        <v>408</v>
      </c>
      <c s="73" t="s">
        <v>408</v>
      </c>
      <c s="73" t="s">
        <v>408</v>
      </c>
      <c s="74" t="s">
        <v>408</v>
      </c>
      <c s="74" t="s">
        <v>408</v>
      </c>
      <c s="69" t="s">
        <v>443</v>
      </c>
      <c s="69" t="s">
        <v>435</v>
      </c>
      <c s="77"/>
    </row>
    <row r="137" spans="1:141" ht="15">
      <c r="A13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501</v>
      </c>
      <c s="65" t="s">
        <v>59</v>
      </c>
      <c s="72" t="s">
        <v>444</v>
      </c>
      <c s="72" t="s">
        <v>435</v>
      </c>
      <c s="72">
        <v>118332520.121765</v>
      </c>
      <c s="72">
        <v>12361089.3377075</v>
      </c>
      <c s="72">
        <v>10.4460627771536</v>
      </c>
      <c s="72">
        <v>105971430.784058</v>
      </c>
      <c s="72">
        <v>89.5539372228464</v>
      </c>
      <c s="72">
        <v>47600790.5543213</v>
      </c>
      <c s="72" t="s">
        <v>408</v>
      </c>
      <c s="72" t="s">
        <v>408</v>
      </c>
      <c s="72" t="s">
        <v>408</v>
      </c>
      <c s="72" t="s">
        <v>408</v>
      </c>
      <c s="72" t="s">
        <v>408</v>
      </c>
      <c s="72" t="s">
        <v>408</v>
      </c>
      <c s="72" t="s">
        <v>408</v>
      </c>
      <c s="72" t="s">
        <v>408</v>
      </c>
      <c s="72" t="s">
        <v>408</v>
      </c>
      <c s="72">
        <v>203451.020446777</v>
      </c>
      <c s="72">
        <v>279652.848937988</v>
      </c>
      <c s="72">
        <v>0.218743980281205</v>
      </c>
      <c s="72">
        <v>-76201.8284912109</v>
      </c>
      <c s="72">
        <v>-0.218743980281204</v>
      </c>
      <c s="72">
        <v>-1558150.93988037</v>
      </c>
      <c s="72" t="s">
        <v>408</v>
      </c>
      <c s="72" t="s">
        <v>408</v>
      </c>
      <c s="72" t="s">
        <v>408</v>
      </c>
      <c s="72" t="s">
        <v>408</v>
      </c>
      <c s="72" t="s">
        <v>408</v>
      </c>
      <c s="72" t="s">
        <v>408</v>
      </c>
      <c s="72" t="s">
        <v>408</v>
      </c>
      <c s="72" t="s">
        <v>408</v>
      </c>
      <c s="73" t="s">
        <v>408</v>
      </c>
      <c s="73" t="s">
        <v>408</v>
      </c>
      <c s="73" t="s">
        <v>408</v>
      </c>
      <c s="73" t="s">
        <v>408</v>
      </c>
      <c s="74" t="s">
        <v>408</v>
      </c>
      <c s="74" t="s">
        <v>408</v>
      </c>
      <c s="69" t="s">
        <v>444</v>
      </c>
      <c s="69" t="s">
        <v>435</v>
      </c>
      <c s="77"/>
    </row>
    <row r="138" spans="1:141" ht="15">
      <c r="A13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502</v>
      </c>
      <c s="65" t="s">
        <v>59</v>
      </c>
      <c s="72" t="s">
        <v>445</v>
      </c>
      <c s="72" t="s">
        <v>435</v>
      </c>
      <c s="72">
        <v>118332520.121765</v>
      </c>
      <c s="72">
        <v>7410099.70892334</v>
      </c>
      <c s="72">
        <v>6.26209912651086</v>
      </c>
      <c s="72">
        <v>110922420.412842</v>
      </c>
      <c s="72">
        <v>93.7379008734891</v>
      </c>
      <c s="72">
        <v>47600790.5543213</v>
      </c>
      <c s="72" t="s">
        <v>408</v>
      </c>
      <c s="72" t="s">
        <v>408</v>
      </c>
      <c s="72" t="s">
        <v>408</v>
      </c>
      <c s="72" t="s">
        <v>408</v>
      </c>
      <c s="72" t="s">
        <v>408</v>
      </c>
      <c s="72" t="s">
        <v>408</v>
      </c>
      <c s="72" t="s">
        <v>408</v>
      </c>
      <c s="72" t="s">
        <v>408</v>
      </c>
      <c s="72" t="s">
        <v>408</v>
      </c>
      <c s="72">
        <v>203451.020446777</v>
      </c>
      <c s="72">
        <v>327488.384460449</v>
      </c>
      <c s="72">
        <v>0.266444222646178</v>
      </c>
      <c s="72">
        <v>-124037.364013672</v>
      </c>
      <c s="72">
        <v>-0.266444222646186</v>
      </c>
      <c s="72">
        <v>-1558150.93988037</v>
      </c>
      <c s="72" t="s">
        <v>408</v>
      </c>
      <c s="72" t="s">
        <v>408</v>
      </c>
      <c s="72" t="s">
        <v>408</v>
      </c>
      <c s="72" t="s">
        <v>408</v>
      </c>
      <c s="72" t="s">
        <v>408</v>
      </c>
      <c s="72" t="s">
        <v>408</v>
      </c>
      <c s="72" t="s">
        <v>408</v>
      </c>
      <c s="72" t="s">
        <v>408</v>
      </c>
      <c s="73" t="s">
        <v>408</v>
      </c>
      <c s="73" t="s">
        <v>408</v>
      </c>
      <c s="73" t="s">
        <v>408</v>
      </c>
      <c s="73" t="s">
        <v>408</v>
      </c>
      <c s="74" t="s">
        <v>408</v>
      </c>
      <c s="74" t="s">
        <v>408</v>
      </c>
      <c s="69" t="s">
        <v>445</v>
      </c>
      <c s="69" t="s">
        <v>435</v>
      </c>
      <c s="77"/>
    </row>
    <row r="139" spans="1:141" ht="15">
      <c r="A13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60</v>
      </c>
      <c s="65" t="s">
        <v>60</v>
      </c>
      <c s="72" t="s">
        <v>446</v>
      </c>
      <c s="72" t="s">
        <v>446</v>
      </c>
      <c s="72">
        <v>118332520.121765</v>
      </c>
      <c s="72">
        <v>81616962.3311157</v>
      </c>
      <c s="72">
        <v>68.9725548371075</v>
      </c>
      <c s="72">
        <v>36715557.7906494</v>
      </c>
      <c s="72">
        <v>31.0274451628925</v>
      </c>
      <c s="72">
        <v>47600790.5543213</v>
      </c>
      <c s="72" t="s">
        <v>408</v>
      </c>
      <c s="72" t="s">
        <v>408</v>
      </c>
      <c s="72" t="s">
        <v>408</v>
      </c>
      <c s="72" t="s">
        <v>408</v>
      </c>
      <c s="72" t="s">
        <v>408</v>
      </c>
      <c s="72" t="s">
        <v>408</v>
      </c>
      <c s="72" t="s">
        <v>408</v>
      </c>
      <c s="72" t="s">
        <v>408</v>
      </c>
      <c s="72" t="s">
        <v>408</v>
      </c>
      <c s="72">
        <v>203451.020446777</v>
      </c>
      <c s="72">
        <v>-1557162.40405273</v>
      </c>
      <c s="72">
        <v>-1.43697718403344</v>
      </c>
      <c s="72">
        <v>1760613.42449951</v>
      </c>
      <c s="72">
        <v>1.43697718403344</v>
      </c>
      <c s="72">
        <v>-1558150.93988037</v>
      </c>
      <c s="72" t="s">
        <v>408</v>
      </c>
      <c s="72" t="s">
        <v>408</v>
      </c>
      <c s="72" t="s">
        <v>408</v>
      </c>
      <c s="72" t="s">
        <v>408</v>
      </c>
      <c s="72" t="s">
        <v>408</v>
      </c>
      <c s="72" t="s">
        <v>408</v>
      </c>
      <c s="72" t="s">
        <v>408</v>
      </c>
      <c s="72" t="s">
        <v>408</v>
      </c>
      <c s="73" t="s">
        <v>408</v>
      </c>
      <c s="73" t="s">
        <v>408</v>
      </c>
      <c s="73" t="s">
        <v>408</v>
      </c>
      <c s="73" t="s">
        <v>408</v>
      </c>
      <c s="74" t="s">
        <v>408</v>
      </c>
      <c s="74" t="s">
        <v>408</v>
      </c>
      <c s="69" t="s">
        <v>446</v>
      </c>
      <c s="69" t="s">
        <v>446</v>
      </c>
      <c s="77"/>
    </row>
    <row r="140" spans="1:141" ht="15">
      <c r="A14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503</v>
      </c>
      <c s="65" t="s">
        <v>60</v>
      </c>
      <c s="72" t="s">
        <v>447</v>
      </c>
      <c s="72" t="s">
        <v>446</v>
      </c>
      <c s="72">
        <v>118332520.121765</v>
      </c>
      <c s="72">
        <v>16804144.2987061</v>
      </c>
      <c s="72">
        <v>14.2007829136187</v>
      </c>
      <c s="72">
        <v>101528375.823059</v>
      </c>
      <c s="72">
        <v>85.7992170863813</v>
      </c>
      <c s="72">
        <v>47600790.5543213</v>
      </c>
      <c s="72" t="s">
        <v>408</v>
      </c>
      <c s="72" t="s">
        <v>408</v>
      </c>
      <c s="72" t="s">
        <v>408</v>
      </c>
      <c s="72" t="s">
        <v>408</v>
      </c>
      <c s="72" t="s">
        <v>408</v>
      </c>
      <c s="72" t="s">
        <v>408</v>
      </c>
      <c s="72" t="s">
        <v>408</v>
      </c>
      <c s="72" t="s">
        <v>408</v>
      </c>
      <c s="72" t="s">
        <v>408</v>
      </c>
      <c s="72">
        <v>203451.020446777</v>
      </c>
      <c s="72">
        <v>-104104.49041748</v>
      </c>
      <c s="72">
        <v>-0.112585436572433</v>
      </c>
      <c s="72">
        <v>307555.510864258</v>
      </c>
      <c s="72">
        <v>0.112585436572431</v>
      </c>
      <c s="72">
        <v>-1558150.93988037</v>
      </c>
      <c s="72" t="s">
        <v>408</v>
      </c>
      <c s="72" t="s">
        <v>408</v>
      </c>
      <c s="72" t="s">
        <v>408</v>
      </c>
      <c s="72" t="s">
        <v>408</v>
      </c>
      <c s="72" t="s">
        <v>408</v>
      </c>
      <c s="72" t="s">
        <v>408</v>
      </c>
      <c s="72" t="s">
        <v>408</v>
      </c>
      <c s="72" t="s">
        <v>408</v>
      </c>
      <c s="73" t="s">
        <v>408</v>
      </c>
      <c s="73" t="s">
        <v>408</v>
      </c>
      <c s="73" t="s">
        <v>408</v>
      </c>
      <c s="73" t="s">
        <v>408</v>
      </c>
      <c s="74" t="s">
        <v>408</v>
      </c>
      <c s="74" t="s">
        <v>408</v>
      </c>
      <c s="69" t="s">
        <v>447</v>
      </c>
      <c s="69" t="s">
        <v>446</v>
      </c>
      <c s="77"/>
    </row>
    <row r="141" spans="1:141" ht="15">
      <c r="A14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504</v>
      </c>
      <c s="65" t="s">
        <v>60</v>
      </c>
      <c s="72" t="s">
        <v>448</v>
      </c>
      <c s="72" t="s">
        <v>446</v>
      </c>
      <c s="72">
        <v>118332520.121765</v>
      </c>
      <c s="72">
        <v>47375842.5568237</v>
      </c>
      <c s="72">
        <v>40.0361984246373</v>
      </c>
      <c s="72">
        <v>70956677.5649414</v>
      </c>
      <c s="72">
        <v>59.9638015753627</v>
      </c>
      <c s="72">
        <v>47600790.5543213</v>
      </c>
      <c s="72" t="s">
        <v>408</v>
      </c>
      <c s="72" t="s">
        <v>408</v>
      </c>
      <c s="72" t="s">
        <v>408</v>
      </c>
      <c s="72" t="s">
        <v>408</v>
      </c>
      <c s="72" t="s">
        <v>408</v>
      </c>
      <c s="72" t="s">
        <v>408</v>
      </c>
      <c s="72" t="s">
        <v>408</v>
      </c>
      <c s="72" t="s">
        <v>408</v>
      </c>
      <c s="72" t="s">
        <v>408</v>
      </c>
      <c s="72">
        <v>203451.020446777</v>
      </c>
      <c s="72">
        <v>-1397436.89904785</v>
      </c>
      <c s="72">
        <v>-1.25192805169948</v>
      </c>
      <c s="72">
        <v>1600887.91949463</v>
      </c>
      <c s="72">
        <v>1.25192805169948</v>
      </c>
      <c s="72">
        <v>-1558150.93988037</v>
      </c>
      <c s="72" t="s">
        <v>408</v>
      </c>
      <c s="72" t="s">
        <v>408</v>
      </c>
      <c s="72" t="s">
        <v>408</v>
      </c>
      <c s="72" t="s">
        <v>408</v>
      </c>
      <c s="72" t="s">
        <v>408</v>
      </c>
      <c s="72" t="s">
        <v>408</v>
      </c>
      <c s="72" t="s">
        <v>408</v>
      </c>
      <c s="72" t="s">
        <v>408</v>
      </c>
      <c s="73" t="s">
        <v>408</v>
      </c>
      <c s="73" t="s">
        <v>408</v>
      </c>
      <c s="73" t="s">
        <v>408</v>
      </c>
      <c s="73" t="s">
        <v>408</v>
      </c>
      <c s="74" t="s">
        <v>408</v>
      </c>
      <c s="74" t="s">
        <v>408</v>
      </c>
      <c s="69" t="s">
        <v>448</v>
      </c>
      <c s="69" t="s">
        <v>446</v>
      </c>
      <c s="77"/>
    </row>
    <row r="142" spans="1:141" ht="15">
      <c r="A14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505</v>
      </c>
      <c s="65" t="s">
        <v>60</v>
      </c>
      <c s="72" t="s">
        <v>449</v>
      </c>
      <c s="72" t="s">
        <v>446</v>
      </c>
      <c s="72">
        <v>118332520.121765</v>
      </c>
      <c s="72">
        <v>42673875.6043091</v>
      </c>
      <c s="72">
        <v>36.06267791846</v>
      </c>
      <c s="72">
        <v>75658644.5174561</v>
      </c>
      <c s="72">
        <v>63.93732208154</v>
      </c>
      <c s="72">
        <v>47600790.5543213</v>
      </c>
      <c s="72" t="s">
        <v>408</v>
      </c>
      <c s="72" t="s">
        <v>408</v>
      </c>
      <c s="72" t="s">
        <v>408</v>
      </c>
      <c s="72" t="s">
        <v>408</v>
      </c>
      <c s="72" t="s">
        <v>408</v>
      </c>
      <c s="72" t="s">
        <v>408</v>
      </c>
      <c s="72" t="s">
        <v>408</v>
      </c>
      <c s="72" t="s">
        <v>408</v>
      </c>
      <c s="72" t="s">
        <v>408</v>
      </c>
      <c s="72">
        <v>203451.020446777</v>
      </c>
      <c s="72">
        <v>-2117169.93566895</v>
      </c>
      <c s="72">
        <v>-1.85436136808602</v>
      </c>
      <c s="72">
        <v>2320620.95611572</v>
      </c>
      <c s="72">
        <v>1.85436136808602</v>
      </c>
      <c s="72">
        <v>-1558150.93988037</v>
      </c>
      <c s="72" t="s">
        <v>408</v>
      </c>
      <c s="72" t="s">
        <v>408</v>
      </c>
      <c s="72" t="s">
        <v>408</v>
      </c>
      <c s="72" t="s">
        <v>408</v>
      </c>
      <c s="72" t="s">
        <v>408</v>
      </c>
      <c s="72" t="s">
        <v>408</v>
      </c>
      <c s="72" t="s">
        <v>408</v>
      </c>
      <c s="72" t="s">
        <v>408</v>
      </c>
      <c s="73" t="s">
        <v>408</v>
      </c>
      <c s="73" t="s">
        <v>408</v>
      </c>
      <c s="73" t="s">
        <v>408</v>
      </c>
      <c s="73" t="s">
        <v>408</v>
      </c>
      <c s="74" t="s">
        <v>408</v>
      </c>
      <c s="74" t="s">
        <v>408</v>
      </c>
      <c s="69" t="s">
        <v>449</v>
      </c>
      <c s="69" t="s">
        <v>446</v>
      </c>
      <c s="77"/>
    </row>
    <row r="143" spans="1:141" ht="15">
      <c r="A14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506</v>
      </c>
      <c s="65" t="s">
        <v>60</v>
      </c>
      <c s="72" t="s">
        <v>450</v>
      </c>
      <c s="72" t="s">
        <v>446</v>
      </c>
      <c s="72">
        <v>118332520.121765</v>
      </c>
      <c s="72">
        <v>4187039.89758301</v>
      </c>
      <c s="72">
        <v>3.53836789183101</v>
      </c>
      <c s="72">
        <v>114145480.224182</v>
      </c>
      <c s="72">
        <v>96.461632108169</v>
      </c>
      <c s="72">
        <v>47600790.5543213</v>
      </c>
      <c s="72" t="s">
        <v>408</v>
      </c>
      <c s="72" t="s">
        <v>408</v>
      </c>
      <c s="72" t="s">
        <v>408</v>
      </c>
      <c s="72" t="s">
        <v>408</v>
      </c>
      <c s="72" t="s">
        <v>408</v>
      </c>
      <c s="72" t="s">
        <v>408</v>
      </c>
      <c s="72" t="s">
        <v>408</v>
      </c>
      <c s="72" t="s">
        <v>408</v>
      </c>
      <c s="72" t="s">
        <v>408</v>
      </c>
      <c s="72">
        <v>203451.020446777</v>
      </c>
      <c s="72">
        <v>-423441.41394043</v>
      </c>
      <c s="72">
        <v>-0.364550624837451</v>
      </c>
      <c s="72">
        <v>626892.434387207</v>
      </c>
      <c s="72">
        <v>0.364550624837449</v>
      </c>
      <c s="72">
        <v>-1558150.93988037</v>
      </c>
      <c s="72" t="s">
        <v>408</v>
      </c>
      <c s="72" t="s">
        <v>408</v>
      </c>
      <c s="72" t="s">
        <v>408</v>
      </c>
      <c s="72" t="s">
        <v>408</v>
      </c>
      <c s="72" t="s">
        <v>408</v>
      </c>
      <c s="72" t="s">
        <v>408</v>
      </c>
      <c s="72" t="s">
        <v>408</v>
      </c>
      <c s="72" t="s">
        <v>408</v>
      </c>
      <c s="73" t="s">
        <v>408</v>
      </c>
      <c s="73" t="s">
        <v>408</v>
      </c>
      <c s="73" t="s">
        <v>408</v>
      </c>
      <c s="73" t="s">
        <v>408</v>
      </c>
      <c s="74" t="s">
        <v>408</v>
      </c>
      <c s="74" t="s">
        <v>408</v>
      </c>
      <c s="69" t="s">
        <v>450</v>
      </c>
      <c s="69" t="s">
        <v>446</v>
      </c>
      <c s="77"/>
    </row>
    <row r="144" spans="1:141" ht="15">
      <c r="A14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v>27694047.8937109</v>
      </c>
      <c s="76">
        <v>4</v>
      </c>
      <c s="75" t="s">
        <v>408</v>
      </c>
      <c s="76" t="s">
        <v>408</v>
      </c>
      <c s="75" t="s">
        <v>408</v>
      </c>
      <c s="76" t="s">
        <v>408</v>
      </c>
      <c s="75" t="s">
        <v>408</v>
      </c>
      <c s="76" t="s">
        <v>408</v>
      </c>
      <c s="75" t="s">
        <v>408</v>
      </c>
      <c s="76" t="s">
        <v>408</v>
      </c>
      <c s="75">
        <v>53476983.0874219</v>
      </c>
      <c s="76">
        <v>4</v>
      </c>
      <c s="75" t="s">
        <v>408</v>
      </c>
      <c s="76" t="s">
        <v>408</v>
      </c>
      <c s="75" t="s">
        <v>408</v>
      </c>
      <c s="76" t="s">
        <v>408</v>
      </c>
      <c s="75" t="s">
        <v>408</v>
      </c>
      <c s="76" t="s">
        <v>408</v>
      </c>
      <c s="75" t="s">
        <v>408</v>
      </c>
      <c s="76" t="s">
        <v>408</v>
      </c>
      <c s="65" t="s">
        <v>61</v>
      </c>
      <c s="65" t="s">
        <v>61</v>
      </c>
      <c s="72" t="s">
        <v>451</v>
      </c>
      <c s="72" t="s">
        <v>451</v>
      </c>
      <c s="72">
        <v>118332520.121765</v>
      </c>
      <c s="72">
        <v>89974876.6484985</v>
      </c>
      <c s="72">
        <v>76.0356295597471</v>
      </c>
      <c s="72">
        <v>28357643.4732666</v>
      </c>
      <c s="72">
        <v>23.9643704402529</v>
      </c>
      <c s="72">
        <v>47600790.5543213</v>
      </c>
      <c s="72">
        <v>16.5334615791357</v>
      </c>
      <c s="72">
        <v>83.4665384208643</v>
      </c>
      <c s="72">
        <v>7870058.41766357</v>
      </c>
      <c s="72">
        <v>27694047.8937109</v>
      </c>
      <c s="72">
        <v>53476983.0874219</v>
      </c>
      <c s="72">
        <v>27694047.8937109</v>
      </c>
      <c s="72">
        <v>19.778364415546</v>
      </c>
      <c s="72">
        <v>6949131.09543293</v>
      </c>
      <c s="72" t="s">
        <v>408</v>
      </c>
      <c s="72">
        <v>203451.020446777</v>
      </c>
      <c s="72">
        <v>-1925060.83276367</v>
      </c>
      <c s="72">
        <v>-1.76057943470487</v>
      </c>
      <c s="72">
        <v>2128511.85321045</v>
      </c>
      <c s="72">
        <v>1.76057943470487</v>
      </c>
      <c s="72">
        <v>-1558150.93988037</v>
      </c>
      <c s="72">
        <v>-0.338649518756839</v>
      </c>
      <c s="72">
        <v>0.338649518756839</v>
      </c>
      <c s="72">
        <v>-424092.805786133</v>
      </c>
      <c s="72">
        <v>142979.630546875</v>
      </c>
      <c s="72">
        <v>-5096000.66085938</v>
      </c>
      <c s="72">
        <v>142979.630546875</v>
      </c>
      <c s="72">
        <v>1.01865231640711</v>
      </c>
      <c s="72" t="s">
        <v>408</v>
      </c>
      <c s="73">
        <v>53476983.0874219</v>
      </c>
      <c s="73">
        <v>27694047.8937109</v>
      </c>
      <c s="73">
        <v>-5096000.66085938</v>
      </c>
      <c s="73">
        <v>142979.630546875</v>
      </c>
      <c s="74">
        <v>0.000533958631974307</v>
      </c>
      <c s="74">
        <v>-0.000980507503274511</v>
      </c>
      <c s="69" t="s">
        <v>451</v>
      </c>
      <c s="69" t="s">
        <v>451</v>
      </c>
      <c s="77"/>
    </row>
    <row r="145" spans="1:141" ht="15">
      <c r="A14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v>3421837.66640625</v>
      </c>
      <c s="76">
        <v>6</v>
      </c>
      <c s="75" t="s">
        <v>408</v>
      </c>
      <c s="76" t="s">
        <v>408</v>
      </c>
      <c s="75" t="s">
        <v>408</v>
      </c>
      <c s="76" t="s">
        <v>408</v>
      </c>
      <c s="75" t="s">
        <v>408</v>
      </c>
      <c s="76" t="s">
        <v>408</v>
      </c>
      <c s="75" t="s">
        <v>408</v>
      </c>
      <c s="76" t="s">
        <v>408</v>
      </c>
      <c s="75">
        <v>6585799.45398438</v>
      </c>
      <c s="76">
        <v>5</v>
      </c>
      <c s="65" t="s">
        <v>489</v>
      </c>
      <c s="65" t="s">
        <v>61</v>
      </c>
      <c s="72" t="s">
        <v>452</v>
      </c>
      <c s="72" t="s">
        <v>451</v>
      </c>
      <c s="72">
        <v>118332520.121765</v>
      </c>
      <c s="72">
        <v>32606609.8303833</v>
      </c>
      <c s="72">
        <v>27.5550709110487</v>
      </c>
      <c s="72">
        <v>85725910.2913818</v>
      </c>
      <c s="72">
        <v>72.4449290889513</v>
      </c>
      <c s="72">
        <v>47600790.5543213</v>
      </c>
      <c s="72">
        <v>1.93212098054653</v>
      </c>
      <c s="72">
        <v>98.0678790194535</v>
      </c>
      <c s="72">
        <v>919704.861206055</v>
      </c>
      <c s="72">
        <v>3421837.66640625</v>
      </c>
      <c s="72">
        <v>6585799.45398438</v>
      </c>
      <c s="72">
        <v>3421837.66640625</v>
      </c>
      <c s="72">
        <v>6.08536257148425</v>
      </c>
      <c s="72">
        <v>2882135.44578603</v>
      </c>
      <c s="72" t="s">
        <v>408</v>
      </c>
      <c s="72">
        <v>203451.020446777</v>
      </c>
      <c s="72">
        <v>-2008748.58630371</v>
      </c>
      <c s="72">
        <v>-1.74792680156152</v>
      </c>
      <c s="72">
        <v>2212199.60675049</v>
      </c>
      <c s="72">
        <v>1.74792680156152</v>
      </c>
      <c s="72">
        <v>-1558150.93988037</v>
      </c>
      <c s="72">
        <v>-0.0333004272746922</v>
      </c>
      <c s="72">
        <v>0.0333004272746962</v>
      </c>
      <c s="72">
        <v>-46475.4987792969</v>
      </c>
      <c s="72">
        <v>227180.96765625</v>
      </c>
      <c s="72">
        <v>-929871.062265625</v>
      </c>
      <c s="72">
        <v>227180.96765625</v>
      </c>
      <c s="72">
        <v>0.251137364885349</v>
      </c>
      <c s="72" t="s">
        <v>408</v>
      </c>
      <c s="73" t="s">
        <v>408</v>
      </c>
      <c s="73" t="s">
        <v>408</v>
      </c>
      <c s="73" t="s">
        <v>408</v>
      </c>
      <c s="73" t="s">
        <v>408</v>
      </c>
      <c s="74" t="s">
        <v>408</v>
      </c>
      <c s="74" t="s">
        <v>408</v>
      </c>
      <c s="69" t="s">
        <v>452</v>
      </c>
      <c s="69" t="s">
        <v>451</v>
      </c>
      <c s="77"/>
    </row>
    <row r="146" spans="1:141" ht="15">
      <c r="A14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v>22415998.2714453</v>
      </c>
      <c s="76">
        <v>1</v>
      </c>
      <c s="75" t="s">
        <v>408</v>
      </c>
      <c s="76" t="s">
        <v>408</v>
      </c>
      <c s="75" t="s">
        <v>408</v>
      </c>
      <c s="76" t="s">
        <v>408</v>
      </c>
      <c s="75" t="s">
        <v>408</v>
      </c>
      <c s="76" t="s">
        <v>408</v>
      </c>
      <c s="75" t="s">
        <v>408</v>
      </c>
      <c s="76" t="s">
        <v>408</v>
      </c>
      <c s="75">
        <v>44322387.4407813</v>
      </c>
      <c s="76">
        <v>2</v>
      </c>
      <c s="65" t="s">
        <v>477</v>
      </c>
      <c s="65" t="s">
        <v>61</v>
      </c>
      <c s="72" t="s">
        <v>453</v>
      </c>
      <c s="72" t="s">
        <v>451</v>
      </c>
      <c s="72">
        <v>118332520.121765</v>
      </c>
      <c s="72">
        <v>72973269.012085</v>
      </c>
      <c s="72">
        <v>61.6679750731201</v>
      </c>
      <c s="72">
        <v>45359251.1096802</v>
      </c>
      <c s="72">
        <v>38.3320249268799</v>
      </c>
      <c s="72">
        <v>47600790.5543213</v>
      </c>
      <c s="72">
        <v>14.0309463402004</v>
      </c>
      <c s="72">
        <v>85.9690536597996</v>
      </c>
      <c s="72">
        <v>6678841.38018799</v>
      </c>
      <c s="72">
        <v>22415998.2714453</v>
      </c>
      <c s="72">
        <v>44322387.4407813</v>
      </c>
      <c s="72">
        <v>22415998.2714453</v>
      </c>
      <c s="72">
        <v>20.2465440834199</v>
      </c>
      <c s="72">
        <v>5457102.99749198</v>
      </c>
      <c s="72" t="s">
        <v>408</v>
      </c>
      <c s="72">
        <v>203451.020446777</v>
      </c>
      <c s="72">
        <v>-1202142.16082764</v>
      </c>
      <c s="72">
        <v>-1.12386078676713</v>
      </c>
      <c s="72">
        <v>1405593.18127441</v>
      </c>
      <c s="72">
        <v>1.12386078676713</v>
      </c>
      <c s="72">
        <v>-1558150.93988037</v>
      </c>
      <c s="72">
        <v>-0.157048005367955</v>
      </c>
      <c s="72">
        <v>0.157048005367955</v>
      </c>
      <c s="72">
        <v>-295826.459350586</v>
      </c>
      <c s="72">
        <v>-133878.529062502</v>
      </c>
      <c s="72">
        <v>-2350454.41132812</v>
      </c>
      <c s="72">
        <v>-133878.529062502</v>
      </c>
      <c s="72">
        <v>1.15590298192409</v>
      </c>
      <c s="72" t="s">
        <v>408</v>
      </c>
      <c s="73" t="s">
        <v>408</v>
      </c>
      <c s="73" t="s">
        <v>408</v>
      </c>
      <c s="73" t="s">
        <v>408</v>
      </c>
      <c s="73" t="s">
        <v>408</v>
      </c>
      <c s="74" t="s">
        <v>408</v>
      </c>
      <c s="74" t="s">
        <v>408</v>
      </c>
      <c s="69" t="s">
        <v>453</v>
      </c>
      <c s="69" t="s">
        <v>451</v>
      </c>
      <c s="77"/>
    </row>
    <row r="147" spans="1:141" ht="15">
      <c r="A14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64</v>
      </c>
      <c s="65" t="s">
        <v>64</v>
      </c>
      <c s="72" t="s">
        <v>454</v>
      </c>
      <c s="72" t="s">
        <v>454</v>
      </c>
      <c s="72">
        <v>118332520.121765</v>
      </c>
      <c s="72">
        <v>47053152.2868042</v>
      </c>
      <c s="72">
        <v>39.7635005477667</v>
      </c>
      <c s="72">
        <v>71279367.8349609</v>
      </c>
      <c s="72">
        <v>60.2364994522333</v>
      </c>
      <c s="72">
        <v>47600790.5543213</v>
      </c>
      <c s="72" t="s">
        <v>408</v>
      </c>
      <c s="72" t="s">
        <v>408</v>
      </c>
      <c s="72" t="s">
        <v>408</v>
      </c>
      <c s="72" t="s">
        <v>408</v>
      </c>
      <c s="72" t="s">
        <v>408</v>
      </c>
      <c s="72" t="s">
        <v>408</v>
      </c>
      <c s="72" t="s">
        <v>408</v>
      </c>
      <c s="72" t="s">
        <v>408</v>
      </c>
      <c s="72" t="s">
        <v>408</v>
      </c>
      <c s="72">
        <v>203451.020446777</v>
      </c>
      <c s="72">
        <v>-367525.495483398</v>
      </c>
      <c s="72">
        <v>-0.379605753710443</v>
      </c>
      <c s="72">
        <v>570976.515930176</v>
      </c>
      <c s="72">
        <v>0.379605753710443</v>
      </c>
      <c s="72">
        <v>-1558150.93988037</v>
      </c>
      <c s="72" t="s">
        <v>408</v>
      </c>
      <c s="72" t="s">
        <v>408</v>
      </c>
      <c s="72" t="s">
        <v>408</v>
      </c>
      <c s="72" t="s">
        <v>408</v>
      </c>
      <c s="72" t="s">
        <v>408</v>
      </c>
      <c s="72" t="s">
        <v>408</v>
      </c>
      <c s="72" t="s">
        <v>408</v>
      </c>
      <c s="72" t="s">
        <v>408</v>
      </c>
      <c s="73" t="s">
        <v>408</v>
      </c>
      <c s="73" t="s">
        <v>408</v>
      </c>
      <c s="73" t="s">
        <v>408</v>
      </c>
      <c s="73" t="s">
        <v>408</v>
      </c>
      <c s="74" t="s">
        <v>408</v>
      </c>
      <c s="74" t="s">
        <v>408</v>
      </c>
      <c s="69" t="s">
        <v>454</v>
      </c>
      <c s="69" t="s">
        <v>454</v>
      </c>
      <c s="77"/>
    </row>
    <row r="148" spans="1:141" ht="15">
      <c r="A14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507</v>
      </c>
      <c s="65" t="s">
        <v>64</v>
      </c>
      <c s="72" t="s">
        <v>455</v>
      </c>
      <c s="72" t="s">
        <v>454</v>
      </c>
      <c s="72">
        <v>118332520.121765</v>
      </c>
      <c s="72">
        <v>12732808.4980469</v>
      </c>
      <c s="72">
        <v>10.7601938038205</v>
      </c>
      <c s="72">
        <v>105599711.623718</v>
      </c>
      <c s="72">
        <v>89.2398061961795</v>
      </c>
      <c s="72">
        <v>47600790.5543213</v>
      </c>
      <c s="72" t="s">
        <v>408</v>
      </c>
      <c s="72" t="s">
        <v>408</v>
      </c>
      <c s="72" t="s">
        <v>408</v>
      </c>
      <c s="72" t="s">
        <v>408</v>
      </c>
      <c s="72" t="s">
        <v>408</v>
      </c>
      <c s="72" t="s">
        <v>408</v>
      </c>
      <c s="72" t="s">
        <v>408</v>
      </c>
      <c s="72" t="s">
        <v>408</v>
      </c>
      <c s="72" t="s">
        <v>408</v>
      </c>
      <c s="72">
        <v>203451.020446777</v>
      </c>
      <c s="72">
        <v>-188206.262145996</v>
      </c>
      <c s="72">
        <v>-0.177854602461753</v>
      </c>
      <c s="72">
        <v>391657.282592773</v>
      </c>
      <c s="72">
        <v>0.177854602461764</v>
      </c>
      <c s="72">
        <v>-1558150.93988037</v>
      </c>
      <c s="72" t="s">
        <v>408</v>
      </c>
      <c s="72" t="s">
        <v>408</v>
      </c>
      <c s="72" t="s">
        <v>408</v>
      </c>
      <c s="72" t="s">
        <v>408</v>
      </c>
      <c s="72" t="s">
        <v>408</v>
      </c>
      <c s="72" t="s">
        <v>408</v>
      </c>
      <c s="72" t="s">
        <v>408</v>
      </c>
      <c s="72" t="s">
        <v>408</v>
      </c>
      <c s="73" t="s">
        <v>408</v>
      </c>
      <c s="73" t="s">
        <v>408</v>
      </c>
      <c s="73" t="s">
        <v>408</v>
      </c>
      <c s="73" t="s">
        <v>408</v>
      </c>
      <c s="74" t="s">
        <v>408</v>
      </c>
      <c s="74" t="s">
        <v>408</v>
      </c>
      <c s="69" t="s">
        <v>455</v>
      </c>
      <c s="69" t="s">
        <v>454</v>
      </c>
      <c s="77"/>
    </row>
    <row r="149" spans="1:141" ht="15">
      <c r="A14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508</v>
      </c>
      <c s="65" t="s">
        <v>64</v>
      </c>
      <c s="72" t="s">
        <v>456</v>
      </c>
      <c s="72" t="s">
        <v>454</v>
      </c>
      <c s="72">
        <v>118332520.121765</v>
      </c>
      <c s="72">
        <v>21360997.5743408</v>
      </c>
      <c s="72">
        <v>18.0516713008057</v>
      </c>
      <c s="72">
        <v>96971522.5474243</v>
      </c>
      <c s="72">
        <v>81.9483286991943</v>
      </c>
      <c s="72">
        <v>47600790.5543213</v>
      </c>
      <c s="72" t="s">
        <v>408</v>
      </c>
      <c s="72" t="s">
        <v>408</v>
      </c>
      <c s="72" t="s">
        <v>408</v>
      </c>
      <c s="72" t="s">
        <v>408</v>
      </c>
      <c s="72" t="s">
        <v>408</v>
      </c>
      <c s="72" t="s">
        <v>408</v>
      </c>
      <c s="72" t="s">
        <v>408</v>
      </c>
      <c s="72" t="s">
        <v>408</v>
      </c>
      <c s="72" t="s">
        <v>408</v>
      </c>
      <c s="72">
        <v>203451.020446777</v>
      </c>
      <c s="72">
        <v>-100002.509765625</v>
      </c>
      <c s="72">
        <v>-0.115745277834655</v>
      </c>
      <c s="72">
        <v>303453.530212402</v>
      </c>
      <c s="72">
        <v>0.115745277834662</v>
      </c>
      <c s="72">
        <v>-1558150.93988037</v>
      </c>
      <c s="72" t="s">
        <v>408</v>
      </c>
      <c s="72" t="s">
        <v>408</v>
      </c>
      <c s="72" t="s">
        <v>408</v>
      </c>
      <c s="72" t="s">
        <v>408</v>
      </c>
      <c s="72" t="s">
        <v>408</v>
      </c>
      <c s="72" t="s">
        <v>408</v>
      </c>
      <c s="72" t="s">
        <v>408</v>
      </c>
      <c s="72" t="s">
        <v>408</v>
      </c>
      <c s="73" t="s">
        <v>408</v>
      </c>
      <c s="73" t="s">
        <v>408</v>
      </c>
      <c s="73" t="s">
        <v>408</v>
      </c>
      <c s="73" t="s">
        <v>408</v>
      </c>
      <c s="74" t="s">
        <v>408</v>
      </c>
      <c s="74" t="s">
        <v>408</v>
      </c>
      <c s="69" t="s">
        <v>456</v>
      </c>
      <c s="69" t="s">
        <v>454</v>
      </c>
      <c s="77"/>
    </row>
    <row r="150" spans="1:141" ht="15">
      <c r="A15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509</v>
      </c>
      <c s="65" t="s">
        <v>64</v>
      </c>
      <c s="72" t="s">
        <v>457</v>
      </c>
      <c s="72" t="s">
        <v>454</v>
      </c>
      <c s="72">
        <v>118332520.121765</v>
      </c>
      <c s="72">
        <v>6975578.17010498</v>
      </c>
      <c s="72">
        <v>5.89489530259903</v>
      </c>
      <c s="72">
        <v>111356941.95166</v>
      </c>
      <c s="72">
        <v>94.105104697401</v>
      </c>
      <c s="72">
        <v>47600790.5543213</v>
      </c>
      <c s="72" t="s">
        <v>408</v>
      </c>
      <c s="72" t="s">
        <v>408</v>
      </c>
      <c s="72" t="s">
        <v>408</v>
      </c>
      <c s="72" t="s">
        <v>408</v>
      </c>
      <c s="72" t="s">
        <v>408</v>
      </c>
      <c s="72" t="s">
        <v>408</v>
      </c>
      <c s="72" t="s">
        <v>408</v>
      </c>
      <c s="72" t="s">
        <v>408</v>
      </c>
      <c s="72" t="s">
        <v>408</v>
      </c>
      <c s="72">
        <v>203451.020446777</v>
      </c>
      <c s="72">
        <v>409178.135253906</v>
      </c>
      <c s="72">
        <v>0.336229611922056</v>
      </c>
      <c s="72">
        <v>-205727.114807129</v>
      </c>
      <c s="72">
        <v>-0.33622961192205</v>
      </c>
      <c s="72">
        <v>-1558150.93988037</v>
      </c>
      <c s="72" t="s">
        <v>408</v>
      </c>
      <c s="72" t="s">
        <v>408</v>
      </c>
      <c s="72" t="s">
        <v>408</v>
      </c>
      <c s="72" t="s">
        <v>408</v>
      </c>
      <c s="72" t="s">
        <v>408</v>
      </c>
      <c s="72" t="s">
        <v>408</v>
      </c>
      <c s="72" t="s">
        <v>408</v>
      </c>
      <c s="72" t="s">
        <v>408</v>
      </c>
      <c s="73" t="s">
        <v>408</v>
      </c>
      <c s="73" t="s">
        <v>408</v>
      </c>
      <c s="73" t="s">
        <v>408</v>
      </c>
      <c s="73" t="s">
        <v>408</v>
      </c>
      <c s="74" t="s">
        <v>408</v>
      </c>
      <c s="74" t="s">
        <v>408</v>
      </c>
      <c s="69" t="s">
        <v>457</v>
      </c>
      <c s="69" t="s">
        <v>454</v>
      </c>
      <c s="77"/>
    </row>
    <row r="151" spans="1:141" ht="15">
      <c r="A15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v>10954082.5719531</v>
      </c>
      <c s="76">
        <v>4</v>
      </c>
      <c s="75" t="s">
        <v>408</v>
      </c>
      <c s="76" t="s">
        <v>408</v>
      </c>
      <c s="75" t="s">
        <v>408</v>
      </c>
      <c s="76" t="s">
        <v>408</v>
      </c>
      <c s="75" t="s">
        <v>408</v>
      </c>
      <c s="76" t="s">
        <v>408</v>
      </c>
      <c s="75" t="s">
        <v>408</v>
      </c>
      <c s="76" t="s">
        <v>408</v>
      </c>
      <c s="75">
        <v>23548085.7380859</v>
      </c>
      <c s="76">
        <v>4</v>
      </c>
      <c s="75" t="s">
        <v>408</v>
      </c>
      <c s="76" t="s">
        <v>408</v>
      </c>
      <c s="75" t="s">
        <v>408</v>
      </c>
      <c s="76" t="s">
        <v>408</v>
      </c>
      <c s="75" t="s">
        <v>408</v>
      </c>
      <c s="76" t="s">
        <v>408</v>
      </c>
      <c s="75" t="s">
        <v>408</v>
      </c>
      <c s="76" t="s">
        <v>408</v>
      </c>
      <c s="65" t="s">
        <v>65</v>
      </c>
      <c s="65" t="s">
        <v>65</v>
      </c>
      <c s="72" t="s">
        <v>458</v>
      </c>
      <c s="72" t="s">
        <v>458</v>
      </c>
      <c s="72">
        <v>118332520.121765</v>
      </c>
      <c s="72">
        <v>113025450.835449</v>
      </c>
      <c s="72">
        <v>95.5151218947632</v>
      </c>
      <c s="72">
        <v>5307069.28631592</v>
      </c>
      <c s="72">
        <v>4.48487810523676</v>
      </c>
      <c s="72">
        <v>47600790.5543213</v>
      </c>
      <c s="72">
        <v>6.4313688855436</v>
      </c>
      <c s="72">
        <v>93.5686311144564</v>
      </c>
      <c s="72">
        <v>3061382.4329834</v>
      </c>
      <c s="72">
        <v>10954082.5719531</v>
      </c>
      <c s="72">
        <v>23548085.7380859</v>
      </c>
      <c s="72">
        <v>10954082.5719531</v>
      </c>
      <c s="72">
        <v>7.10419733532964</v>
      </c>
      <c s="72">
        <v>10314568.7658857</v>
      </c>
      <c s="72" t="s">
        <v>408</v>
      </c>
      <c s="72">
        <v>203451.020446777</v>
      </c>
      <c s="72">
        <v>-342421.582580566</v>
      </c>
      <c s="72">
        <v>-0.454374250842591</v>
      </c>
      <c s="72">
        <v>545872.603027344</v>
      </c>
      <c s="72">
        <v>0.454374250842591</v>
      </c>
      <c s="72">
        <v>-1558150.93988037</v>
      </c>
      <c s="72">
        <v>0.0795250706768433</v>
      </c>
      <c s="72">
        <v>-0.0795250706768513</v>
      </c>
      <c s="72">
        <v>-61116.7517700195</v>
      </c>
      <c s="72">
        <v>1620141.77875</v>
      </c>
      <c s="72">
        <v>-2708545.37798828</v>
      </c>
      <c s="72">
        <v>1620141.77875</v>
      </c>
      <c s="72">
        <v>0.0128981240381814</v>
      </c>
      <c s="72" t="s">
        <v>408</v>
      </c>
      <c s="73">
        <v>23548085.7380859</v>
      </c>
      <c s="73">
        <v>10954082.5719531</v>
      </c>
      <c s="73">
        <v>-2708545.37798828</v>
      </c>
      <c s="73">
        <v>1620141.77875</v>
      </c>
      <c s="74">
        <v>-0.000397580371869641</v>
      </c>
      <c s="74">
        <v>0.00279175422181297</v>
      </c>
      <c s="69" t="s">
        <v>458</v>
      </c>
      <c s="69" t="s">
        <v>458</v>
      </c>
      <c s="77"/>
    </row>
    <row r="152" spans="1:141" ht="15">
      <c r="A15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v>722973.478203125</v>
      </c>
      <c s="76">
        <v>9</v>
      </c>
      <c s="65" t="s">
        <v>510</v>
      </c>
      <c s="65" t="s">
        <v>65</v>
      </c>
      <c s="72" t="s">
        <v>459</v>
      </c>
      <c s="72" t="s">
        <v>458</v>
      </c>
      <c s="72">
        <v>118332520.121765</v>
      </c>
      <c s="72">
        <v>30416700.3357544</v>
      </c>
      <c s="72">
        <v>25.7044304511181</v>
      </c>
      <c s="72">
        <v>87915819.7860107</v>
      </c>
      <c s="72">
        <v>74.2955695488819</v>
      </c>
      <c s="72">
        <v>47600790.5543213</v>
      </c>
      <c s="72">
        <v>0.640255954161429</v>
      </c>
      <c s="72">
        <v>99.3597440458386</v>
      </c>
      <c s="72">
        <v>304766.895751953</v>
      </c>
      <c s="72" t="s">
        <v>408</v>
      </c>
      <c s="72">
        <v>722973.478203125</v>
      </c>
      <c s="72" t="s">
        <v>408</v>
      </c>
      <c s="72">
        <v>2.08296403304965</v>
      </c>
      <c s="72">
        <v>739504.923976539</v>
      </c>
      <c s="72" t="s">
        <v>408</v>
      </c>
      <c s="72">
        <v>203451.020446777</v>
      </c>
      <c s="72">
        <v>99815.1368408203</v>
      </c>
      <c s="72">
        <v>0.0402265176128935</v>
      </c>
      <c s="72">
        <v>103635.883605957</v>
      </c>
      <c s="72">
        <v>-0.0402265176128935</v>
      </c>
      <c s="72">
        <v>-1558150.93988037</v>
      </c>
      <c s="72">
        <v>-0.0796843469836844</v>
      </c>
      <c s="72">
        <v>0.079684346983683</v>
      </c>
      <c s="72">
        <v>-49148.1356811523</v>
      </c>
      <c s="72" t="s">
        <v>408</v>
      </c>
      <c s="72">
        <v>21283.6937890624</v>
      </c>
      <c s="72" t="s">
        <v>408</v>
      </c>
      <c s="72">
        <v>-0.120972867388406</v>
      </c>
      <c s="72" t="s">
        <v>408</v>
      </c>
      <c s="73" t="s">
        <v>408</v>
      </c>
      <c s="73" t="s">
        <v>408</v>
      </c>
      <c s="73" t="s">
        <v>408</v>
      </c>
      <c s="73" t="s">
        <v>408</v>
      </c>
      <c s="74" t="s">
        <v>408</v>
      </c>
      <c s="74" t="s">
        <v>408</v>
      </c>
      <c s="69" t="s">
        <v>459</v>
      </c>
      <c s="69" t="s">
        <v>458</v>
      </c>
      <c s="77"/>
    </row>
    <row r="153" spans="1:141" ht="15">
      <c r="A15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v>4139631.71230469</v>
      </c>
      <c s="76">
        <v>7</v>
      </c>
      <c s="65" t="s">
        <v>511</v>
      </c>
      <c s="65" t="s">
        <v>65</v>
      </c>
      <c s="72" t="s">
        <v>460</v>
      </c>
      <c s="72" t="s">
        <v>458</v>
      </c>
      <c s="72">
        <v>118332520.121765</v>
      </c>
      <c s="72">
        <v>3348542.5322876</v>
      </c>
      <c s="72">
        <v>2.82977369943775</v>
      </c>
      <c s="72">
        <v>114983977.589478</v>
      </c>
      <c s="72">
        <v>97.1702263005622</v>
      </c>
      <c s="72">
        <v>47600790.5543213</v>
      </c>
      <c s="72">
        <v>0.824758214699958</v>
      </c>
      <c s="72">
        <v>99.1752417853</v>
      </c>
      <c s="72">
        <v>392591.430358887</v>
      </c>
      <c s="72" t="s">
        <v>408</v>
      </c>
      <c s="72">
        <v>4139631.71230469</v>
      </c>
      <c s="72" t="s">
        <v>408</v>
      </c>
      <c s="72">
        <v>34.3326751887277</v>
      </c>
      <c s="72">
        <v>311053.200049416</v>
      </c>
      <c s="72" t="s">
        <v>408</v>
      </c>
      <c s="72">
        <v>203451.020446777</v>
      </c>
      <c s="72">
        <v>330383.032165527</v>
      </c>
      <c s="72">
        <v>0.274806049998801</v>
      </c>
      <c s="72">
        <v>-126932.01171875</v>
      </c>
      <c s="72">
        <v>-0.274806049998801</v>
      </c>
      <c s="72">
        <v>-1558150.93988037</v>
      </c>
      <c s="72">
        <v>0.084411788164854</v>
      </c>
      <c s="72">
        <v>-0.0844117881648572</v>
      </c>
      <c s="72">
        <v>28644.963684082</v>
      </c>
      <c s="72" t="s">
        <v>408</v>
      </c>
      <c s="72">
        <v>448701.805742187</v>
      </c>
      <c s="72" t="s">
        <v>408</v>
      </c>
      <c s="72">
        <v>2.23022780106049</v>
      </c>
      <c s="72" t="s">
        <v>408</v>
      </c>
      <c s="73" t="s">
        <v>408</v>
      </c>
      <c s="73" t="s">
        <v>408</v>
      </c>
      <c s="73" t="s">
        <v>408</v>
      </c>
      <c s="73" t="s">
        <v>408</v>
      </c>
      <c s="74" t="s">
        <v>408</v>
      </c>
      <c s="74" t="s">
        <v>408</v>
      </c>
      <c s="69" t="s">
        <v>460</v>
      </c>
      <c s="69" t="s">
        <v>458</v>
      </c>
      <c s="77"/>
    </row>
    <row r="154" spans="1:141" ht="15">
      <c r="A15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66</v>
      </c>
      <c s="65" t="s">
        <v>66</v>
      </c>
      <c s="72" t="s">
        <v>461</v>
      </c>
      <c s="72" t="s">
        <v>461</v>
      </c>
      <c s="72">
        <v>118332520.121765</v>
      </c>
      <c s="72">
        <v>20909588.6517334</v>
      </c>
      <c s="72">
        <v>17.6701963502656</v>
      </c>
      <c s="72">
        <v>97422931.4700317</v>
      </c>
      <c s="72">
        <v>82.3298036497344</v>
      </c>
      <c s="72">
        <v>47600790.5543213</v>
      </c>
      <c s="72" t="s">
        <v>408</v>
      </c>
      <c s="72" t="s">
        <v>408</v>
      </c>
      <c s="72" t="s">
        <v>408</v>
      </c>
      <c s="72" t="s">
        <v>408</v>
      </c>
      <c s="72" t="s">
        <v>408</v>
      </c>
      <c s="72" t="s">
        <v>408</v>
      </c>
      <c s="72" t="s">
        <v>408</v>
      </c>
      <c s="72" t="s">
        <v>408</v>
      </c>
      <c s="72" t="s">
        <v>408</v>
      </c>
      <c s="72">
        <v>203451.020446777</v>
      </c>
      <c s="72">
        <v>-2401171.96948242</v>
      </c>
      <c s="72">
        <v>-2.06310113404998</v>
      </c>
      <c s="72">
        <v>2604622.9899292</v>
      </c>
      <c s="72">
        <v>2.06310113404999</v>
      </c>
      <c s="72">
        <v>-1558150.93988037</v>
      </c>
      <c s="72" t="s">
        <v>408</v>
      </c>
      <c s="72" t="s">
        <v>408</v>
      </c>
      <c s="72" t="s">
        <v>408</v>
      </c>
      <c s="72" t="s">
        <v>408</v>
      </c>
      <c s="72" t="s">
        <v>408</v>
      </c>
      <c s="72" t="s">
        <v>408</v>
      </c>
      <c s="72" t="s">
        <v>408</v>
      </c>
      <c s="72" t="s">
        <v>408</v>
      </c>
      <c s="73" t="s">
        <v>408</v>
      </c>
      <c s="73" t="s">
        <v>408</v>
      </c>
      <c s="73" t="s">
        <v>408</v>
      </c>
      <c s="73" t="s">
        <v>408</v>
      </c>
      <c s="74" t="s">
        <v>408</v>
      </c>
      <c s="74" t="s">
        <v>408</v>
      </c>
      <c s="69" t="s">
        <v>461</v>
      </c>
      <c s="69" t="s">
        <v>461</v>
      </c>
      <c s="77"/>
    </row>
    <row r="155" spans="1:141" ht="15">
      <c r="A15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512</v>
      </c>
      <c s="65" t="s">
        <v>66</v>
      </c>
      <c s="72" t="s">
        <v>462</v>
      </c>
      <c s="72" t="s">
        <v>461</v>
      </c>
      <c s="72">
        <v>118332520.121765</v>
      </c>
      <c s="72">
        <v>5035121.06219482</v>
      </c>
      <c s="72">
        <v>4.25506112522039</v>
      </c>
      <c s="72">
        <v>113297399.05957</v>
      </c>
      <c s="72">
        <v>95.7449388747796</v>
      </c>
      <c s="72">
        <v>47600790.5543213</v>
      </c>
      <c s="72" t="s">
        <v>408</v>
      </c>
      <c s="72" t="s">
        <v>408</v>
      </c>
      <c s="72" t="s">
        <v>408</v>
      </c>
      <c s="72" t="s">
        <v>408</v>
      </c>
      <c s="72" t="s">
        <v>408</v>
      </c>
      <c s="72" t="s">
        <v>408</v>
      </c>
      <c s="72" t="s">
        <v>408</v>
      </c>
      <c s="72" t="s">
        <v>408</v>
      </c>
      <c s="72" t="s">
        <v>408</v>
      </c>
      <c s="72">
        <v>203451.020446777</v>
      </c>
      <c s="72">
        <v>-961154.282165527</v>
      </c>
      <c s="72">
        <v>-0.820975950139439</v>
      </c>
      <c s="72">
        <v>1164605.3026123</v>
      </c>
      <c s="72">
        <v>0.820975950139442</v>
      </c>
      <c s="72">
        <v>-1558150.93988037</v>
      </c>
      <c s="72" t="s">
        <v>408</v>
      </c>
      <c s="72" t="s">
        <v>408</v>
      </c>
      <c s="72" t="s">
        <v>408</v>
      </c>
      <c s="72" t="s">
        <v>408</v>
      </c>
      <c s="72" t="s">
        <v>408</v>
      </c>
      <c s="72" t="s">
        <v>408</v>
      </c>
      <c s="72" t="s">
        <v>408</v>
      </c>
      <c s="72" t="s">
        <v>408</v>
      </c>
      <c s="73" t="s">
        <v>408</v>
      </c>
      <c s="73" t="s">
        <v>408</v>
      </c>
      <c s="73" t="s">
        <v>408</v>
      </c>
      <c s="73" t="s">
        <v>408</v>
      </c>
      <c s="74" t="s">
        <v>408</v>
      </c>
      <c s="74" t="s">
        <v>408</v>
      </c>
      <c s="69" t="s">
        <v>462</v>
      </c>
      <c s="69" t="s">
        <v>461</v>
      </c>
      <c s="77"/>
    </row>
    <row r="156" spans="1:141" ht="15">
      <c r="A15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513</v>
      </c>
      <c s="65" t="s">
        <v>66</v>
      </c>
      <c s="72" t="s">
        <v>463</v>
      </c>
      <c s="72" t="s">
        <v>461</v>
      </c>
      <c s="72">
        <v>118332520.121765</v>
      </c>
      <c s="72">
        <v>16067036.5788574</v>
      </c>
      <c s="72">
        <v>13.5778707005685</v>
      </c>
      <c s="72">
        <v>102265483.542908</v>
      </c>
      <c s="72">
        <v>86.4221292994315</v>
      </c>
      <c s="72">
        <v>47600790.5543213</v>
      </c>
      <c s="72" t="s">
        <v>408</v>
      </c>
      <c s="72" t="s">
        <v>408</v>
      </c>
      <c s="72" t="s">
        <v>408</v>
      </c>
      <c s="72" t="s">
        <v>408</v>
      </c>
      <c s="72" t="s">
        <v>408</v>
      </c>
      <c s="72" t="s">
        <v>408</v>
      </c>
      <c s="72" t="s">
        <v>408</v>
      </c>
      <c s="72" t="s">
        <v>408</v>
      </c>
      <c s="72" t="s">
        <v>408</v>
      </c>
      <c s="72">
        <v>203451.020446777</v>
      </c>
      <c s="72">
        <v>-1911797.6875</v>
      </c>
      <c s="72">
        <v>-1.64178217838306</v>
      </c>
      <c s="72">
        <v>2115248.70794678</v>
      </c>
      <c s="72">
        <v>1.64178217838305</v>
      </c>
      <c s="72">
        <v>-1558150.93988037</v>
      </c>
      <c s="72" t="s">
        <v>408</v>
      </c>
      <c s="72" t="s">
        <v>408</v>
      </c>
      <c s="72" t="s">
        <v>408</v>
      </c>
      <c s="72" t="s">
        <v>408</v>
      </c>
      <c s="72" t="s">
        <v>408</v>
      </c>
      <c s="72" t="s">
        <v>408</v>
      </c>
      <c s="72" t="s">
        <v>408</v>
      </c>
      <c s="72" t="s">
        <v>408</v>
      </c>
      <c s="73" t="s">
        <v>408</v>
      </c>
      <c s="73" t="s">
        <v>408</v>
      </c>
      <c s="73" t="s">
        <v>408</v>
      </c>
      <c s="73" t="s">
        <v>408</v>
      </c>
      <c s="74" t="s">
        <v>408</v>
      </c>
      <c s="74" t="s">
        <v>408</v>
      </c>
      <c s="69" t="s">
        <v>463</v>
      </c>
      <c s="69" t="s">
        <v>461</v>
      </c>
      <c s="77"/>
    </row>
    <row r="157" spans="1:141" ht="15">
      <c r="A15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67</v>
      </c>
      <c s="75">
        <v>66955332.9057812</v>
      </c>
      <c s="76">
        <v>3</v>
      </c>
      <c s="75" t="s">
        <v>408</v>
      </c>
      <c s="76" t="s">
        <v>408</v>
      </c>
      <c s="75" t="s">
        <v>408</v>
      </c>
      <c s="76" t="s">
        <v>408</v>
      </c>
      <c s="75" t="s">
        <v>408</v>
      </c>
      <c s="76" t="s">
        <v>408</v>
      </c>
      <c s="75" t="s">
        <v>408</v>
      </c>
      <c s="76" t="s">
        <v>408</v>
      </c>
      <c s="75">
        <v>200863196.99832</v>
      </c>
      <c s="76">
        <v>1</v>
      </c>
      <c s="75" t="s">
        <v>408</v>
      </c>
      <c s="76" t="s">
        <v>408</v>
      </c>
      <c s="75" t="s">
        <v>408</v>
      </c>
      <c s="76" t="s">
        <v>408</v>
      </c>
      <c s="75" t="s">
        <v>408</v>
      </c>
      <c s="76" t="s">
        <v>408</v>
      </c>
      <c s="75" t="s">
        <v>408</v>
      </c>
      <c s="76" t="s">
        <v>408</v>
      </c>
      <c s="65" t="s">
        <v>67</v>
      </c>
      <c s="65" t="s">
        <v>67</v>
      </c>
      <c s="72" t="s">
        <v>464</v>
      </c>
      <c s="72" t="s">
        <v>464</v>
      </c>
      <c s="72">
        <v>118332520.121765</v>
      </c>
      <c s="72">
        <v>98326906.2091064</v>
      </c>
      <c s="72">
        <v>83.0937312143164</v>
      </c>
      <c s="72">
        <v>20005613.9126587</v>
      </c>
      <c s="72">
        <v>16.9062687856836</v>
      </c>
      <c s="72">
        <v>47600790.5543213</v>
      </c>
      <c s="72">
        <v>41.2202771873801</v>
      </c>
      <c s="72">
        <v>58.7797228126199</v>
      </c>
      <c s="72">
        <v>19621177.8098755</v>
      </c>
      <c s="72">
        <v>66955332.9057812</v>
      </c>
      <c s="72">
        <v>200863196.99832</v>
      </c>
      <c s="72">
        <v>66955332.9057812</v>
      </c>
      <c s="72">
        <v>49.2239669104129</v>
      </c>
      <c s="72">
        <v>10028489.9714133</v>
      </c>
      <c s="72" t="s">
        <v>408</v>
      </c>
      <c s="72">
        <v>203451.020446777</v>
      </c>
      <c s="72">
        <v>348802.833374023</v>
      </c>
      <c s="72">
        <v>0.152162199074837</v>
      </c>
      <c s="72">
        <v>-145351.812927246</v>
      </c>
      <c s="72">
        <v>-0.152162199074837</v>
      </c>
      <c s="72">
        <v>-1558150.93988037</v>
      </c>
      <c s="72">
        <v>0.482227985542877</v>
      </c>
      <c s="72">
        <v>-0.482227985542877</v>
      </c>
      <c s="72">
        <v>-405215.963134766</v>
      </c>
      <c s="72">
        <v>-1464247.66710938</v>
      </c>
      <c s="72">
        <v>-17455899.6111328</v>
      </c>
      <c s="72">
        <v>-1464247.66710938</v>
      </c>
      <c s="72">
        <v>0.192056668488142</v>
      </c>
      <c s="72" t="s">
        <v>408</v>
      </c>
      <c s="73">
        <v>200863196.99832</v>
      </c>
      <c s="73">
        <v>66955332.9057812</v>
      </c>
      <c s="73">
        <v>-17455899.6111328</v>
      </c>
      <c s="73">
        <v>-1464247.66710938</v>
      </c>
      <c s="74">
        <v>0.00430044749789138</v>
      </c>
      <c s="74">
        <v>-0.0060510708050939</v>
      </c>
      <c s="69" t="s">
        <v>464</v>
      </c>
      <c s="69" t="s">
        <v>464</v>
      </c>
      <c s="77"/>
    </row>
    <row r="158" spans="1:141" ht="15">
      <c r="A15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67</v>
      </c>
      <c s="75" t="s">
        <v>408</v>
      </c>
      <c s="76" t="s">
        <v>408</v>
      </c>
      <c s="75" t="s">
        <v>408</v>
      </c>
      <c s="76" t="s">
        <v>408</v>
      </c>
      <c s="75" t="s">
        <v>408</v>
      </c>
      <c s="76" t="s">
        <v>408</v>
      </c>
      <c s="75">
        <v>9811481.77703125</v>
      </c>
      <c s="76">
        <v>2</v>
      </c>
      <c s="75" t="s">
        <v>408</v>
      </c>
      <c s="76" t="s">
        <v>408</v>
      </c>
      <c s="75" t="s">
        <v>408</v>
      </c>
      <c s="76" t="s">
        <v>408</v>
      </c>
      <c s="75">
        <v>26250004.1182812</v>
      </c>
      <c s="76">
        <v>2</v>
      </c>
      <c s="75" t="s">
        <v>408</v>
      </c>
      <c s="76" t="s">
        <v>408</v>
      </c>
      <c s="75" t="s">
        <v>408</v>
      </c>
      <c s="76" t="s">
        <v>408</v>
      </c>
      <c s="75" t="s">
        <v>408</v>
      </c>
      <c s="76" t="s">
        <v>408</v>
      </c>
      <c s="65" t="s">
        <v>481</v>
      </c>
      <c s="65" t="s">
        <v>67</v>
      </c>
      <c s="72" t="s">
        <v>465</v>
      </c>
      <c s="72" t="s">
        <v>464</v>
      </c>
      <c s="72">
        <v>118332520.121765</v>
      </c>
      <c s="72">
        <v>32750620.3792725</v>
      </c>
      <c s="72">
        <v>27.6767708027952</v>
      </c>
      <c s="72">
        <v>85581899.7424927</v>
      </c>
      <c s="72">
        <v>72.3232291972048</v>
      </c>
      <c s="72">
        <v>47600790.5543213</v>
      </c>
      <c s="72">
        <v>6.97814124795637</v>
      </c>
      <c s="72">
        <v>93.0218587520436</v>
      </c>
      <c s="72">
        <v>3321650.40002441</v>
      </c>
      <c s="72">
        <v>9811481.77703125</v>
      </c>
      <c s="72">
        <v>26250004.1182812</v>
      </c>
      <c s="72">
        <v>9811481.77703125</v>
      </c>
      <c s="72">
        <v>25.6449627673488</v>
      </c>
      <c s="72">
        <v>2625231.8433679</v>
      </c>
      <c s="72" t="s">
        <v>408</v>
      </c>
      <c s="72">
        <v>203451.020446777</v>
      </c>
      <c s="72">
        <v>-2458705.24932861</v>
      </c>
      <c s="72">
        <v>-2.12903897498465</v>
      </c>
      <c s="72">
        <v>2662156.26977539</v>
      </c>
      <c s="72">
        <v>2.12903897498465</v>
      </c>
      <c s="72">
        <v>-1558150.93988037</v>
      </c>
      <c s="72">
        <v>-0.388727359807225</v>
      </c>
      <c s="72">
        <v>0.38872735980722</v>
      </c>
      <c s="72">
        <v>-299824.228820801</v>
      </c>
      <c s="72">
        <v>-983832.454140624</v>
      </c>
      <c s="72">
        <v>-5154321.414375</v>
      </c>
      <c s="72">
        <v>-983832.454140624</v>
      </c>
      <c s="72">
        <v>-0.795961949572092</v>
      </c>
      <c s="72" t="s">
        <v>408</v>
      </c>
      <c s="73" t="s">
        <v>408</v>
      </c>
      <c s="73" t="s">
        <v>408</v>
      </c>
      <c s="73" t="s">
        <v>408</v>
      </c>
      <c s="73" t="s">
        <v>408</v>
      </c>
      <c s="74" t="s">
        <v>408</v>
      </c>
      <c s="74" t="s">
        <v>408</v>
      </c>
      <c s="69" t="s">
        <v>465</v>
      </c>
      <c s="69" t="s">
        <v>464</v>
      </c>
      <c s="77"/>
    </row>
    <row r="159" spans="1:141" ht="15">
      <c r="A15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67</v>
      </c>
      <c s="75" t="s">
        <v>408</v>
      </c>
      <c s="76" t="s">
        <v>408</v>
      </c>
      <c s="75" t="s">
        <v>408</v>
      </c>
      <c s="76" t="s">
        <v>408</v>
      </c>
      <c s="75" t="s">
        <v>408</v>
      </c>
      <c s="76" t="s">
        <v>408</v>
      </c>
      <c s="75">
        <v>1637434.12640625</v>
      </c>
      <c s="76">
        <v>3</v>
      </c>
      <c s="75" t="s">
        <v>408</v>
      </c>
      <c s="76" t="s">
        <v>408</v>
      </c>
      <c s="75" t="s">
        <v>408</v>
      </c>
      <c s="76" t="s">
        <v>408</v>
      </c>
      <c s="75">
        <v>3224234.7871875</v>
      </c>
      <c s="76">
        <v>3</v>
      </c>
      <c s="75" t="s">
        <v>408</v>
      </c>
      <c s="76" t="s">
        <v>408</v>
      </c>
      <c s="75" t="s">
        <v>408</v>
      </c>
      <c s="76" t="s">
        <v>408</v>
      </c>
      <c s="75" t="s">
        <v>408</v>
      </c>
      <c s="76" t="s">
        <v>408</v>
      </c>
      <c s="65" t="s">
        <v>484</v>
      </c>
      <c s="65" t="s">
        <v>67</v>
      </c>
      <c s="72" t="s">
        <v>466</v>
      </c>
      <c s="72" t="s">
        <v>464</v>
      </c>
      <c s="72">
        <v>118332520.121765</v>
      </c>
      <c s="72">
        <v>4294706.65216064</v>
      </c>
      <c s="72">
        <v>3.62935450689409</v>
      </c>
      <c s="72">
        <v>114037813.469604</v>
      </c>
      <c s="72">
        <v>96.3706454931059</v>
      </c>
      <c s="72">
        <v>47600790.5543213</v>
      </c>
      <c s="72">
        <v>1.00726919184352</v>
      </c>
      <c s="72">
        <v>98.9927308081565</v>
      </c>
      <c s="72">
        <v>479468.098327637</v>
      </c>
      <c s="72">
        <v>1637434.12640625</v>
      </c>
      <c s="72">
        <v>3224234.7871875</v>
      </c>
      <c s="72">
        <v>1637434.12640625</v>
      </c>
      <c s="72">
        <v>20.6673285232869</v>
      </c>
      <c s="72">
        <v>304929.32351125</v>
      </c>
      <c s="72" t="s">
        <v>408</v>
      </c>
      <c s="72">
        <v>203451.020446777</v>
      </c>
      <c s="72">
        <v>279781.975097656</v>
      </c>
      <c s="72">
        <v>0.230593551942846</v>
      </c>
      <c s="72">
        <v>-76330.9546508789</v>
      </c>
      <c s="72">
        <v>-0.230593551942846</v>
      </c>
      <c s="72">
        <v>-1558150.93988037</v>
      </c>
      <c s="72">
        <v>0.0792910845493275</v>
      </c>
      <c s="72">
        <v>-0.0792910845493253</v>
      </c>
      <c s="72">
        <v>23283.8834838867</v>
      </c>
      <c s="72">
        <v>-162775.025625</v>
      </c>
      <c s="72">
        <v>167911.34375</v>
      </c>
      <c s="72">
        <v>-162775.025625</v>
      </c>
      <c s="72">
        <v>1.81078872693451</v>
      </c>
      <c s="72" t="s">
        <v>408</v>
      </c>
      <c s="73" t="s">
        <v>408</v>
      </c>
      <c s="73" t="s">
        <v>408</v>
      </c>
      <c s="73" t="s">
        <v>408</v>
      </c>
      <c s="73" t="s">
        <v>408</v>
      </c>
      <c s="74" t="s">
        <v>408</v>
      </c>
      <c s="74" t="s">
        <v>408</v>
      </c>
      <c s="69" t="s">
        <v>466</v>
      </c>
      <c s="69" t="s">
        <v>464</v>
      </c>
      <c s="77"/>
    </row>
    <row r="160" spans="1:141" ht="15">
      <c r="A16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67</v>
      </c>
      <c s="75" t="s">
        <v>408</v>
      </c>
      <c s="76" t="s">
        <v>408</v>
      </c>
      <c s="75" t="s">
        <v>408</v>
      </c>
      <c s="76" t="s">
        <v>408</v>
      </c>
      <c s="75" t="s">
        <v>408</v>
      </c>
      <c s="76" t="s">
        <v>408</v>
      </c>
      <c s="75">
        <v>55506417.0535156</v>
      </c>
      <c s="76">
        <v>1</v>
      </c>
      <c s="75" t="s">
        <v>408</v>
      </c>
      <c s="76" t="s">
        <v>408</v>
      </c>
      <c s="75" t="s">
        <v>408</v>
      </c>
      <c s="76" t="s">
        <v>408</v>
      </c>
      <c s="75">
        <v>171388958.073477</v>
      </c>
      <c s="76">
        <v>1</v>
      </c>
      <c s="75" t="s">
        <v>408</v>
      </c>
      <c s="76" t="s">
        <v>408</v>
      </c>
      <c s="75" t="s">
        <v>408</v>
      </c>
      <c s="76" t="s">
        <v>408</v>
      </c>
      <c s="75" t="s">
        <v>408</v>
      </c>
      <c s="76" t="s">
        <v>408</v>
      </c>
      <c s="65" t="s">
        <v>476</v>
      </c>
      <c s="65" t="s">
        <v>67</v>
      </c>
      <c s="72" t="s">
        <v>467</v>
      </c>
      <c s="72" t="s">
        <v>464</v>
      </c>
      <c s="72">
        <v>118332520.121765</v>
      </c>
      <c s="72">
        <v>84259052.4053955</v>
      </c>
      <c s="72">
        <v>71.2053223566034</v>
      </c>
      <c s="72">
        <v>34073467.7163696</v>
      </c>
      <c s="72">
        <v>28.7946776433966</v>
      </c>
      <c s="72">
        <v>47600790.5543213</v>
      </c>
      <c s="72">
        <v>35.2235601316569</v>
      </c>
      <c s="72">
        <v>64.7764398683431</v>
      </c>
      <c s="72">
        <v>16766693.0840454</v>
      </c>
      <c s="72">
        <v>55506417.0535156</v>
      </c>
      <c s="72">
        <v>171388958.073477</v>
      </c>
      <c s="72">
        <v>55506417.0535156</v>
      </c>
      <c s="72">
        <v>48.4726468668921</v>
      </c>
      <c s="72">
        <v>8665010.85399156</v>
      </c>
      <c s="72" t="s">
        <v>408</v>
      </c>
      <c s="72">
        <v>203451.020446777</v>
      </c>
      <c s="72">
        <v>2037072.8762207</v>
      </c>
      <c s="72">
        <v>1.60181142175162</v>
      </c>
      <c s="72">
        <v>-1833621.85577393</v>
      </c>
      <c s="72">
        <v>-1.60181142175162</v>
      </c>
      <c s="72">
        <v>-1558150.93988037</v>
      </c>
      <c s="72">
        <v>0.928472891518318</v>
      </c>
      <c s="72">
        <v>-0.928472891518311</v>
      </c>
      <c s="72">
        <v>-92408.7877197266</v>
      </c>
      <c s="72">
        <v>-317640.141328119</v>
      </c>
      <c s="72">
        <v>-12469489.5473047</v>
      </c>
      <c s="72">
        <v>-317640.141328119</v>
      </c>
      <c s="72">
        <v>0.0830910632200741</v>
      </c>
      <c s="72" t="s">
        <v>408</v>
      </c>
      <c s="73" t="s">
        <v>408</v>
      </c>
      <c s="73" t="s">
        <v>408</v>
      </c>
      <c s="73" t="s">
        <v>408</v>
      </c>
      <c s="73" t="s">
        <v>408</v>
      </c>
      <c s="74" t="s">
        <v>408</v>
      </c>
      <c s="74" t="s">
        <v>408</v>
      </c>
      <c s="69" t="s">
        <v>467</v>
      </c>
      <c s="69" t="s">
        <v>464</v>
      </c>
      <c s="77"/>
    </row>
    <row r="161" spans="1:141" ht="15">
      <c r="A16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162" spans="1:141" ht="15">
      <c r="A16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163" spans="1:141" ht="15">
      <c r="A16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164" spans="1:141" ht="15">
      <c r="A16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165" spans="1:141" ht="15">
      <c r="A16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166" spans="1:141" ht="15">
      <c r="A16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167" spans="1:141" ht="15">
      <c r="A16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168" spans="1:141" ht="15">
      <c r="A16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169" spans="1:141" ht="15">
      <c r="A16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170" spans="1:141" ht="15">
      <c r="A17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171" spans="1:141" ht="15">
      <c r="A17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172" spans="1:141" ht="15">
      <c r="A17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173" spans="1:141" ht="15">
      <c r="A17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174" spans="1:141" ht="15">
      <c r="A17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175" spans="1:141" ht="15">
      <c r="A17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176" spans="1:141" ht="15">
      <c r="A17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177" spans="1:141" ht="15">
      <c r="A17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178" spans="1:141" ht="15">
      <c r="A17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179" spans="1:141" ht="15">
      <c r="A17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180" spans="1:141" ht="15">
      <c r="A18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181" spans="1:141" ht="15">
      <c r="A18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182" spans="1:141" ht="15">
      <c r="A18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183" spans="1:141" ht="15">
      <c r="A18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184" spans="1:141" ht="15">
      <c r="A18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185" spans="1:141" ht="15">
      <c r="A18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186" spans="1:141" ht="15">
      <c r="A18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187" spans="1:141" ht="15">
      <c r="A18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188" spans="1:141" ht="15">
      <c r="A18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189" spans="1:141" ht="15">
      <c r="A18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190" spans="1:141" ht="15">
      <c r="A19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191" spans="1:141" ht="15">
      <c r="A19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192" spans="1:141" ht="15">
      <c r="A19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193" spans="1:141" ht="15">
      <c r="A19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194" spans="1:141" ht="15">
      <c r="A19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195" spans="1:141" ht="15">
      <c r="A19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196" spans="1:141" ht="15">
      <c r="A19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197" spans="1:141" ht="15">
      <c r="A19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198" spans="1:141" ht="15">
      <c r="A19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199" spans="1:141" ht="15">
      <c r="A19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00" spans="1:141" ht="15">
      <c r="A20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01" spans="1:141" ht="15">
      <c r="A20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02" spans="1:141" ht="15">
      <c r="A20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03" spans="1:141" ht="15">
      <c r="A20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04" spans="1:141" ht="15">
      <c r="A20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05" spans="1:141" ht="15">
      <c r="A20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06" spans="1:141" ht="15">
      <c r="A20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07" spans="1:141" ht="15">
      <c r="A20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08" spans="1:141" ht="15">
      <c r="A20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09" spans="1:141" ht="15">
      <c r="A20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10" spans="1:141" ht="15">
      <c r="A21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11" spans="1:141" ht="15">
      <c r="A21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12" spans="1:141" ht="15">
      <c r="A21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13" spans="1:141" ht="15">
      <c r="A21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14" spans="1:141" ht="15">
      <c r="A21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15" spans="1:141" ht="15">
      <c r="A21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16" spans="1:141" ht="15">
      <c r="A21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17" spans="1:141" ht="15">
      <c r="A21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18" spans="1:141" ht="15">
      <c r="A21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19" spans="1:141" ht="15">
      <c r="A21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20" spans="1:141" ht="15">
      <c r="A22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21" spans="1:141" ht="15">
      <c r="A22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22" spans="1:141" ht="15">
      <c r="A22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23" spans="1:141" ht="15">
      <c r="A22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24" spans="1:141" ht="15">
      <c r="A22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25" spans="1:141" ht="15">
      <c r="A22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26" spans="1:141" ht="15">
      <c r="A22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27" spans="1:141" ht="15">
      <c r="A22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28" spans="1:141" ht="15">
      <c r="A22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29" spans="1:141" ht="15">
      <c r="A22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30" spans="1:141" ht="15">
      <c r="A23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31" spans="1:141" ht="15">
      <c r="A23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32" spans="1:141" ht="15">
      <c r="A23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33" spans="1:141" ht="15">
      <c r="A23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34" spans="1:141" ht="15">
      <c r="A23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35" spans="1:141" ht="15">
      <c r="A23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36" spans="1:141" ht="15">
      <c r="A23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37" spans="1:141" ht="15">
      <c r="A23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38" spans="1:141" ht="15">
      <c r="A23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39" spans="1:141" ht="15">
      <c r="A23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40" spans="1:141" ht="15">
      <c r="A24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41" spans="1:141" ht="15">
      <c r="A24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42" spans="1:141" ht="15">
      <c r="A24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43" spans="1:141" ht="15">
      <c r="A24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44" spans="1:141" ht="15">
      <c r="A24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45" spans="1:141" ht="15">
      <c r="A24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46" spans="1:141" ht="15">
      <c r="A24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47" spans="1:141" ht="15">
      <c r="A24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48" spans="1:141" ht="15">
      <c r="A24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49" spans="1:141" ht="15">
      <c r="A24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50" spans="1:141" ht="15">
      <c r="A25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51" spans="1:141" ht="15">
      <c r="A25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52" spans="1:141" ht="15">
      <c r="A25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53" spans="1:141" ht="15">
      <c r="A25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54" spans="1:141" ht="15">
      <c r="A25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55" spans="1:141" ht="15">
      <c r="A25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56" spans="1:141" ht="15">
      <c r="A25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57" spans="1:141" ht="15">
      <c r="A25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58" spans="1:141" ht="15">
      <c r="A25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59" spans="1:141" ht="15">
      <c r="A25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60" spans="1:141" ht="15">
      <c r="A260"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301" spans="1:1" ht="14.25">
      <c r="A301" s="109" t="s">
        <v>43</v>
      </c>
    </row>
    <row r="302" spans="1:1" ht="14.25">
      <c r="A302" s="109" t="s">
        <v>54</v>
      </c>
    </row>
    <row r="303" spans="1:1" ht="14.25">
      <c r="A303" s="109" t="s">
        <v>55</v>
      </c>
    </row>
    <row r="304" spans="1:1" ht="14.25">
      <c r="A304" s="109" t="s">
        <v>56</v>
      </c>
    </row>
    <row r="305" spans="1:1" ht="14.25">
      <c r="A305" s="109" t="s">
        <v>57</v>
      </c>
    </row>
    <row r="306" spans="1:1" ht="14.25">
      <c r="A306" s="109" t="s">
        <v>58</v>
      </c>
    </row>
    <row r="307" spans="1:1" ht="14.25">
      <c r="A307" s="109" t="s">
        <v>59</v>
      </c>
    </row>
    <row r="308" spans="1:1" ht="14.25">
      <c r="A308" s="109" t="s">
        <v>60</v>
      </c>
    </row>
    <row r="309" spans="1:1" ht="14.25">
      <c r="A309" s="109" t="s">
        <v>61</v>
      </c>
    </row>
    <row r="310" spans="1:1" ht="14.25">
      <c r="A310" s="109" t="s">
        <v>62</v>
      </c>
    </row>
    <row r="311" spans="1:1" ht="14.25">
      <c r="A311" s="109" t="s">
        <v>63</v>
      </c>
    </row>
    <row r="312" spans="1:1" ht="14.25">
      <c r="A312" s="109" t="s">
        <v>64</v>
      </c>
    </row>
    <row r="313" spans="1:1" ht="14.25">
      <c r="A313" s="109" t="s">
        <v>65</v>
      </c>
    </row>
    <row r="314" spans="1:1" ht="14.25">
      <c r="A314" s="109" t="s">
        <v>66</v>
      </c>
    </row>
    <row r="315" spans="1:1" ht="14.25">
      <c r="A315" s="109" t="s">
        <v>67</v>
      </c>
    </row>
    <row r="324" spans="1:2" ht="14.25">
      <c r="A324" s="109" t="s">
        <v>41</v>
      </c>
      <c s="109" t="s">
        <v>42</v>
      </c>
    </row>
    <row r="325" spans="1:2" ht="14.25">
      <c r="A325" s="109" t="s">
        <v>68</v>
      </c>
      <c s="109" t="s">
        <v>55</v>
      </c>
    </row>
    <row r="326" spans="1:2" ht="14.25">
      <c r="A326" s="109" t="s">
        <v>69</v>
      </c>
      <c s="109" t="s">
        <v>55</v>
      </c>
    </row>
    <row r="327" spans="1:2" ht="14.25">
      <c r="A327" s="109" t="s">
        <v>70</v>
      </c>
      <c s="109" t="s">
        <v>55</v>
      </c>
    </row>
    <row r="328" spans="1:2" ht="14.25">
      <c r="A328" s="109" t="s">
        <v>71</v>
      </c>
      <c s="109" t="s">
        <v>55</v>
      </c>
    </row>
    <row r="329" spans="1:2" ht="14.25">
      <c r="A329" s="109" t="s">
        <v>72</v>
      </c>
      <c s="109" t="s">
        <v>57</v>
      </c>
    </row>
    <row r="330" spans="1:2" ht="14.25">
      <c r="A330" s="109" t="s">
        <v>73</v>
      </c>
      <c s="109" t="s">
        <v>57</v>
      </c>
    </row>
    <row r="331" spans="1:2" ht="14.25">
      <c r="A331" s="109" t="s">
        <v>74</v>
      </c>
      <c s="109" t="s">
        <v>57</v>
      </c>
    </row>
    <row r="332" spans="1:2" ht="14.25">
      <c r="A332" s="109" t="s">
        <v>75</v>
      </c>
      <c s="109" t="s">
        <v>57</v>
      </c>
    </row>
    <row r="333" spans="1:2" ht="14.25">
      <c r="A333" s="109" t="s">
        <v>76</v>
      </c>
      <c s="109" t="s">
        <v>57</v>
      </c>
    </row>
    <row r="334" spans="1:2" ht="14.25">
      <c r="A334" s="109" t="s">
        <v>77</v>
      </c>
      <c s="109" t="s">
        <v>57</v>
      </c>
    </row>
    <row r="335" spans="1:2" ht="14.25">
      <c r="A335" s="109" t="s">
        <v>78</v>
      </c>
      <c s="109" t="s">
        <v>57</v>
      </c>
    </row>
    <row r="336" spans="1:2" ht="14.25">
      <c r="A336" s="109" t="s">
        <v>79</v>
      </c>
      <c s="109" t="s">
        <v>57</v>
      </c>
    </row>
    <row r="337" spans="1:2" ht="14.25">
      <c r="A337" s="109" t="s">
        <v>80</v>
      </c>
      <c s="109" t="s">
        <v>57</v>
      </c>
    </row>
    <row r="338" spans="1:2" ht="14.25">
      <c r="A338" s="109" t="s">
        <v>81</v>
      </c>
      <c s="109" t="s">
        <v>57</v>
      </c>
    </row>
    <row r="339" spans="1:2" ht="14.25">
      <c r="A339" s="109" t="s">
        <v>82</v>
      </c>
      <c s="109" t="s">
        <v>57</v>
      </c>
    </row>
    <row r="340" spans="1:2" ht="14.25">
      <c r="A340" s="109" t="s">
        <v>83</v>
      </c>
      <c s="109" t="s">
        <v>57</v>
      </c>
    </row>
    <row r="341" spans="1:2" ht="14.25">
      <c r="A341" s="109" t="s">
        <v>84</v>
      </c>
      <c s="109" t="s">
        <v>57</v>
      </c>
    </row>
    <row r="342" spans="1:2" ht="14.25">
      <c r="A342" s="109" t="s">
        <v>85</v>
      </c>
      <c s="109" t="s">
        <v>57</v>
      </c>
    </row>
    <row r="343" spans="1:2" ht="14.25">
      <c r="A343" s="109" t="s">
        <v>86</v>
      </c>
      <c s="109" t="s">
        <v>57</v>
      </c>
    </row>
    <row r="344" spans="1:2" ht="14.25">
      <c r="A344" s="109" t="s">
        <v>87</v>
      </c>
      <c s="109" t="s">
        <v>57</v>
      </c>
    </row>
    <row r="345" spans="1:2" ht="14.25">
      <c r="A345" s="109" t="s">
        <v>88</v>
      </c>
      <c s="109" t="s">
        <v>57</v>
      </c>
    </row>
    <row r="346" spans="1:2" ht="14.25">
      <c r="A346" s="109" t="s">
        <v>89</v>
      </c>
      <c s="109" t="s">
        <v>58</v>
      </c>
    </row>
    <row r="347" spans="1:2" ht="14.25">
      <c r="A347" s="109" t="s">
        <v>90</v>
      </c>
      <c s="109" t="s">
        <v>58</v>
      </c>
    </row>
    <row r="348" spans="1:2" ht="14.25">
      <c r="A348" s="109" t="s">
        <v>91</v>
      </c>
      <c s="109" t="s">
        <v>58</v>
      </c>
    </row>
    <row r="349" spans="1:2" ht="14.25">
      <c r="A349" s="109" t="s">
        <v>92</v>
      </c>
      <c s="109" t="s">
        <v>58</v>
      </c>
    </row>
    <row r="350" spans="1:2" ht="14.25">
      <c r="A350" s="109" t="s">
        <v>93</v>
      </c>
      <c s="109" t="s">
        <v>58</v>
      </c>
    </row>
    <row r="351" spans="1:2" ht="14.25">
      <c r="A351" s="109" t="s">
        <v>94</v>
      </c>
      <c s="109" t="s">
        <v>58</v>
      </c>
    </row>
    <row r="352" spans="1:2" ht="14.25">
      <c r="A352" s="109" t="s">
        <v>95</v>
      </c>
      <c s="109" t="s">
        <v>58</v>
      </c>
    </row>
    <row r="353" spans="1:2" ht="14.25">
      <c r="A353" s="109" t="s">
        <v>96</v>
      </c>
      <c s="109" t="s">
        <v>58</v>
      </c>
    </row>
    <row r="354" spans="1:2" ht="14.25">
      <c r="A354" s="109" t="s">
        <v>97</v>
      </c>
      <c s="109" t="s">
        <v>58</v>
      </c>
    </row>
    <row r="355" spans="1:2" ht="14.25">
      <c r="A355" s="109" t="s">
        <v>98</v>
      </c>
      <c s="109" t="s">
        <v>58</v>
      </c>
    </row>
    <row r="356" spans="1:2" ht="14.25">
      <c r="A356" s="109" t="s">
        <v>99</v>
      </c>
      <c s="109" t="s">
        <v>58</v>
      </c>
    </row>
    <row r="357" spans="1:2" ht="14.25">
      <c r="A357" s="109" t="s">
        <v>100</v>
      </c>
      <c s="109" t="s">
        <v>58</v>
      </c>
    </row>
    <row r="358" spans="1:2" ht="14.25">
      <c r="A358" s="109" t="s">
        <v>101</v>
      </c>
      <c s="109" t="s">
        <v>58</v>
      </c>
    </row>
    <row r="359" spans="1:2" ht="14.25">
      <c r="A359" s="109" t="s">
        <v>102</v>
      </c>
      <c s="109" t="s">
        <v>58</v>
      </c>
    </row>
    <row r="360" spans="1:2" ht="14.25">
      <c r="A360" s="109" t="s">
        <v>103</v>
      </c>
      <c s="109" t="s">
        <v>58</v>
      </c>
    </row>
    <row r="361" spans="1:2" ht="14.25">
      <c r="A361" s="109" t="s">
        <v>104</v>
      </c>
      <c s="109" t="s">
        <v>58</v>
      </c>
    </row>
    <row r="362" spans="1:2" ht="14.25">
      <c r="A362" s="109" t="s">
        <v>105</v>
      </c>
      <c s="109" t="s">
        <v>58</v>
      </c>
    </row>
    <row r="363" spans="1:2" ht="14.25">
      <c r="A363" s="109" t="s">
        <v>106</v>
      </c>
      <c s="109" t="s">
        <v>58</v>
      </c>
    </row>
    <row r="364" spans="1:2" ht="14.25">
      <c r="A364" s="109" t="s">
        <v>107</v>
      </c>
      <c s="109" t="s">
        <v>58</v>
      </c>
    </row>
    <row r="365" spans="1:2" ht="14.25">
      <c r="A365" s="109" t="s">
        <v>108</v>
      </c>
      <c s="109" t="s">
        <v>58</v>
      </c>
    </row>
    <row r="366" spans="1:2" ht="14.25">
      <c r="A366" s="109" t="s">
        <v>109</v>
      </c>
      <c s="109" t="s">
        <v>58</v>
      </c>
    </row>
    <row r="367" spans="1:2" ht="14.25">
      <c r="A367" s="109" t="s">
        <v>110</v>
      </c>
      <c s="109" t="s">
        <v>58</v>
      </c>
    </row>
    <row r="368" spans="1:2" ht="14.25">
      <c r="A368" s="109" t="s">
        <v>111</v>
      </c>
      <c s="109" t="s">
        <v>58</v>
      </c>
    </row>
    <row r="369" spans="1:2" ht="14.25">
      <c r="A369" s="109" t="s">
        <v>112</v>
      </c>
      <c s="109" t="s">
        <v>58</v>
      </c>
    </row>
    <row r="370" spans="1:2" ht="14.25">
      <c r="A370" s="109" t="s">
        <v>113</v>
      </c>
      <c s="109" t="s">
        <v>58</v>
      </c>
    </row>
    <row r="371" spans="1:2" ht="14.25">
      <c r="A371" s="109" t="s">
        <v>114</v>
      </c>
      <c s="109" t="s">
        <v>58</v>
      </c>
    </row>
    <row r="372" spans="1:2" ht="14.25">
      <c r="A372" s="109" t="s">
        <v>115</v>
      </c>
      <c s="109" t="s">
        <v>58</v>
      </c>
    </row>
    <row r="373" spans="1:2" ht="14.25">
      <c r="A373" s="109" t="s">
        <v>116</v>
      </c>
      <c s="109" t="s">
        <v>58</v>
      </c>
    </row>
    <row r="374" spans="1:2" ht="14.25">
      <c r="A374" s="109" t="s">
        <v>117</v>
      </c>
      <c s="109" t="s">
        <v>58</v>
      </c>
    </row>
    <row r="375" spans="1:2" ht="14.25">
      <c r="A375" s="109" t="s">
        <v>118</v>
      </c>
      <c s="109" t="s">
        <v>58</v>
      </c>
    </row>
    <row r="376" spans="1:2" ht="14.25">
      <c r="A376" s="109" t="s">
        <v>119</v>
      </c>
      <c s="109" t="s">
        <v>58</v>
      </c>
    </row>
    <row r="377" spans="1:2" ht="14.25">
      <c r="A377" s="109" t="s">
        <v>120</v>
      </c>
      <c s="109" t="s">
        <v>58</v>
      </c>
    </row>
    <row r="378" spans="1:2" ht="14.25">
      <c r="A378" s="109" t="s">
        <v>121</v>
      </c>
      <c s="109" t="s">
        <v>58</v>
      </c>
    </row>
    <row r="379" spans="1:2" ht="14.25">
      <c r="A379" s="109" t="s">
        <v>122</v>
      </c>
      <c s="109" t="s">
        <v>58</v>
      </c>
    </row>
    <row r="380" spans="1:2" ht="14.25">
      <c r="A380" s="109" t="s">
        <v>123</v>
      </c>
      <c s="109" t="s">
        <v>59</v>
      </c>
    </row>
    <row r="381" spans="1:2" ht="14.25">
      <c r="A381" s="109" t="s">
        <v>124</v>
      </c>
      <c s="109" t="s">
        <v>59</v>
      </c>
    </row>
    <row r="382" spans="1:2" ht="14.25">
      <c r="A382" s="109" t="s">
        <v>125</v>
      </c>
      <c s="109" t="s">
        <v>59</v>
      </c>
    </row>
    <row r="383" spans="1:2" ht="14.25">
      <c r="A383" s="109" t="s">
        <v>126</v>
      </c>
      <c s="109" t="s">
        <v>59</v>
      </c>
    </row>
    <row r="384" spans="1:2" ht="14.25">
      <c r="A384" s="109" t="s">
        <v>127</v>
      </c>
      <c s="109" t="s">
        <v>59</v>
      </c>
    </row>
    <row r="385" spans="1:2" ht="14.25">
      <c r="A385" s="109" t="s">
        <v>128</v>
      </c>
      <c s="109" t="s">
        <v>59</v>
      </c>
    </row>
    <row r="386" spans="1:2" ht="14.25">
      <c r="A386" s="109" t="s">
        <v>129</v>
      </c>
      <c s="109" t="s">
        <v>59</v>
      </c>
    </row>
    <row r="387" spans="1:2" ht="14.25">
      <c r="A387" s="109" t="s">
        <v>130</v>
      </c>
      <c s="109" t="s">
        <v>59</v>
      </c>
    </row>
    <row r="388" spans="1:2" ht="14.25">
      <c r="A388" s="109" t="s">
        <v>131</v>
      </c>
      <c s="109" t="s">
        <v>59</v>
      </c>
    </row>
    <row r="389" spans="1:2" ht="14.25">
      <c r="A389" s="109" t="s">
        <v>132</v>
      </c>
      <c s="109" t="s">
        <v>59</v>
      </c>
    </row>
    <row r="390" spans="1:2" ht="14.25">
      <c r="A390" s="109" t="s">
        <v>133</v>
      </c>
      <c s="109" t="s">
        <v>59</v>
      </c>
    </row>
    <row r="391" spans="1:2" ht="14.25">
      <c r="A391" s="109" t="s">
        <v>134</v>
      </c>
      <c s="109" t="s">
        <v>59</v>
      </c>
    </row>
    <row r="392" spans="1:2" ht="14.25">
      <c r="A392" s="109" t="s">
        <v>135</v>
      </c>
      <c s="109" t="s">
        <v>59</v>
      </c>
    </row>
    <row r="393" spans="1:2" ht="14.25">
      <c r="A393" s="109" t="s">
        <v>136</v>
      </c>
      <c s="109" t="s">
        <v>59</v>
      </c>
    </row>
    <row r="394" spans="1:2" ht="14.25">
      <c r="A394" s="109" t="s">
        <v>137</v>
      </c>
      <c s="109" t="s">
        <v>59</v>
      </c>
    </row>
    <row r="395" spans="1:2" ht="14.25">
      <c r="A395" s="109" t="s">
        <v>138</v>
      </c>
      <c s="109" t="s">
        <v>59</v>
      </c>
    </row>
    <row r="396" spans="1:2" ht="14.25">
      <c r="A396" s="109" t="s">
        <v>139</v>
      </c>
      <c s="109" t="s">
        <v>59</v>
      </c>
    </row>
    <row r="397" spans="1:2" ht="14.25">
      <c r="A397" s="109" t="s">
        <v>140</v>
      </c>
      <c s="109" t="s">
        <v>59</v>
      </c>
    </row>
    <row r="398" spans="1:2" ht="14.25">
      <c r="A398" s="109" t="s">
        <v>141</v>
      </c>
      <c s="109" t="s">
        <v>59</v>
      </c>
    </row>
    <row r="399" spans="1:2" ht="14.25">
      <c r="A399" s="109" t="s">
        <v>142</v>
      </c>
      <c s="109" t="s">
        <v>59</v>
      </c>
    </row>
    <row r="400" spans="1:2" ht="14.25">
      <c r="A400" s="109" t="s">
        <v>143</v>
      </c>
      <c s="109" t="s">
        <v>59</v>
      </c>
    </row>
    <row r="401" spans="1:2" ht="14.25">
      <c r="A401" s="109" t="s">
        <v>144</v>
      </c>
      <c s="109" t="s">
        <v>59</v>
      </c>
    </row>
    <row r="402" spans="1:2" ht="14.25">
      <c r="A402" s="109" t="s">
        <v>145</v>
      </c>
      <c s="109" t="s">
        <v>59</v>
      </c>
    </row>
    <row r="403" spans="1:2" ht="14.25">
      <c r="A403" s="109" t="s">
        <v>146</v>
      </c>
      <c s="109" t="s">
        <v>59</v>
      </c>
    </row>
    <row r="404" spans="1:2" ht="14.25">
      <c r="A404" s="109" t="s">
        <v>147</v>
      </c>
      <c s="109" t="s">
        <v>59</v>
      </c>
    </row>
    <row r="405" spans="1:2" ht="14.25">
      <c r="A405" s="109" t="s">
        <v>148</v>
      </c>
      <c s="109" t="s">
        <v>59</v>
      </c>
    </row>
    <row r="406" spans="1:2" ht="14.25">
      <c r="A406" s="109" t="s">
        <v>149</v>
      </c>
      <c s="109" t="s">
        <v>59</v>
      </c>
    </row>
    <row r="407" spans="1:2" ht="14.25">
      <c r="A407" s="109" t="s">
        <v>150</v>
      </c>
      <c s="109" t="s">
        <v>59</v>
      </c>
    </row>
    <row r="408" spans="1:2" ht="14.25">
      <c r="A408" s="109" t="s">
        <v>151</v>
      </c>
      <c s="109" t="s">
        <v>59</v>
      </c>
    </row>
    <row r="409" spans="1:2" ht="14.25">
      <c r="A409" s="109" t="s">
        <v>152</v>
      </c>
      <c s="109" t="s">
        <v>59</v>
      </c>
    </row>
    <row r="410" spans="1:2" ht="14.25">
      <c r="A410" s="109" t="s">
        <v>153</v>
      </c>
      <c s="109" t="s">
        <v>59</v>
      </c>
    </row>
    <row r="411" spans="1:2" ht="14.25">
      <c r="A411" s="109" t="s">
        <v>154</v>
      </c>
      <c s="109" t="s">
        <v>59</v>
      </c>
    </row>
    <row r="412" spans="1:2" ht="14.25">
      <c r="A412" s="109" t="s">
        <v>155</v>
      </c>
      <c s="109" t="s">
        <v>59</v>
      </c>
    </row>
    <row r="413" spans="1:2" ht="14.25">
      <c r="A413" s="109" t="s">
        <v>156</v>
      </c>
      <c s="109" t="s">
        <v>59</v>
      </c>
    </row>
    <row r="414" spans="1:2" ht="14.25">
      <c r="A414" s="109" t="s">
        <v>157</v>
      </c>
      <c s="109" t="s">
        <v>59</v>
      </c>
    </row>
    <row r="415" spans="1:2" ht="14.25">
      <c r="A415" s="109" t="s">
        <v>158</v>
      </c>
      <c s="109" t="s">
        <v>59</v>
      </c>
    </row>
    <row r="416" spans="1:2" ht="14.25">
      <c r="A416" s="109" t="s">
        <v>159</v>
      </c>
      <c s="109" t="s">
        <v>59</v>
      </c>
    </row>
    <row r="417" spans="1:2" ht="14.25">
      <c r="A417" s="109" t="s">
        <v>160</v>
      </c>
      <c s="109" t="s">
        <v>59</v>
      </c>
    </row>
    <row r="418" spans="1:2" ht="14.25">
      <c r="A418" s="109" t="s">
        <v>161</v>
      </c>
      <c s="109" t="s">
        <v>59</v>
      </c>
    </row>
    <row r="419" spans="1:2" ht="14.25">
      <c r="A419" s="109" t="s">
        <v>162</v>
      </c>
      <c s="109" t="s">
        <v>59</v>
      </c>
    </row>
    <row r="420" spans="1:2" ht="14.25">
      <c r="A420" s="109" t="s">
        <v>163</v>
      </c>
      <c s="109" t="s">
        <v>59</v>
      </c>
    </row>
    <row r="421" spans="1:2" ht="14.25">
      <c r="A421" s="109" t="s">
        <v>164</v>
      </c>
      <c s="109" t="s">
        <v>59</v>
      </c>
    </row>
    <row r="422" spans="1:2" ht="14.25">
      <c r="A422" s="109" t="s">
        <v>165</v>
      </c>
      <c s="109" t="s">
        <v>59</v>
      </c>
    </row>
    <row r="423" spans="1:2" ht="14.25">
      <c r="A423" s="109" t="s">
        <v>166</v>
      </c>
      <c s="109" t="s">
        <v>59</v>
      </c>
    </row>
    <row r="424" spans="1:2" ht="14.25">
      <c r="A424" s="109" t="s">
        <v>167</v>
      </c>
      <c s="109" t="s">
        <v>59</v>
      </c>
    </row>
    <row r="425" spans="1:2" ht="14.25">
      <c r="A425" s="109" t="s">
        <v>168</v>
      </c>
      <c s="109" t="s">
        <v>59</v>
      </c>
    </row>
    <row r="426" spans="1:2" ht="14.25">
      <c r="A426" s="109" t="s">
        <v>169</v>
      </c>
      <c s="109" t="s">
        <v>59</v>
      </c>
    </row>
    <row r="427" spans="1:2" ht="14.25">
      <c r="A427" s="109" t="s">
        <v>170</v>
      </c>
      <c s="109" t="s">
        <v>59</v>
      </c>
    </row>
    <row r="428" spans="1:2" ht="14.25">
      <c r="A428" s="109" t="s">
        <v>171</v>
      </c>
      <c s="109" t="s">
        <v>59</v>
      </c>
    </row>
    <row r="429" spans="1:2" ht="14.25">
      <c r="A429" s="109" t="s">
        <v>172</v>
      </c>
      <c s="109" t="s">
        <v>59</v>
      </c>
    </row>
    <row r="430" spans="1:2" ht="14.25">
      <c r="A430" s="109" t="s">
        <v>173</v>
      </c>
      <c s="109" t="s">
        <v>59</v>
      </c>
    </row>
    <row r="431" spans="1:2" ht="14.25">
      <c r="A431" s="109" t="s">
        <v>174</v>
      </c>
      <c s="109" t="s">
        <v>59</v>
      </c>
    </row>
    <row r="432" spans="1:2" ht="14.25">
      <c r="A432" s="109" t="s">
        <v>175</v>
      </c>
      <c s="109" t="s">
        <v>59</v>
      </c>
    </row>
    <row r="433" spans="1:2" ht="14.25">
      <c r="A433" s="109" t="s">
        <v>176</v>
      </c>
      <c s="109" t="s">
        <v>59</v>
      </c>
    </row>
    <row r="434" spans="1:2" ht="14.25">
      <c r="A434" s="109" t="s">
        <v>177</v>
      </c>
      <c s="109" t="s">
        <v>59</v>
      </c>
    </row>
    <row r="435" spans="1:2" ht="14.25">
      <c r="A435" s="109" t="s">
        <v>178</v>
      </c>
      <c s="109" t="s">
        <v>59</v>
      </c>
    </row>
    <row r="436" spans="1:2" ht="14.25">
      <c r="A436" s="109" t="s">
        <v>179</v>
      </c>
      <c s="109" t="s">
        <v>59</v>
      </c>
    </row>
    <row r="437" spans="1:2" ht="14.25">
      <c r="A437" s="109" t="s">
        <v>180</v>
      </c>
      <c s="109" t="s">
        <v>59</v>
      </c>
    </row>
    <row r="438" spans="1:2" ht="14.25">
      <c r="A438" s="109" t="s">
        <v>181</v>
      </c>
      <c s="109" t="s">
        <v>59</v>
      </c>
    </row>
    <row r="439" spans="1:2" ht="14.25">
      <c r="A439" s="109" t="s">
        <v>182</v>
      </c>
      <c s="109" t="s">
        <v>59</v>
      </c>
    </row>
    <row r="440" spans="1:2" ht="14.25">
      <c r="A440" s="109" t="s">
        <v>183</v>
      </c>
      <c s="109" t="s">
        <v>59</v>
      </c>
    </row>
    <row r="441" spans="1:2" ht="14.25">
      <c r="A441" s="109" t="s">
        <v>184</v>
      </c>
      <c s="109" t="s">
        <v>59</v>
      </c>
    </row>
    <row r="442" spans="1:2" ht="14.25">
      <c r="A442" s="109" t="s">
        <v>185</v>
      </c>
      <c s="109" t="s">
        <v>59</v>
      </c>
    </row>
    <row r="443" spans="1:2" ht="14.25">
      <c r="A443" s="109" t="s">
        <v>186</v>
      </c>
      <c s="109" t="s">
        <v>59</v>
      </c>
    </row>
    <row r="444" spans="1:2" ht="14.25">
      <c r="A444" s="109" t="s">
        <v>187</v>
      </c>
      <c s="109" t="s">
        <v>59</v>
      </c>
    </row>
    <row r="445" spans="1:2" ht="14.25">
      <c r="A445" s="109" t="s">
        <v>188</v>
      </c>
      <c s="109" t="s">
        <v>59</v>
      </c>
    </row>
    <row r="446" spans="1:2" ht="14.25">
      <c r="A446" s="109" t="s">
        <v>189</v>
      </c>
      <c s="109" t="s">
        <v>59</v>
      </c>
    </row>
    <row r="447" spans="1:2" ht="14.25">
      <c r="A447" s="109" t="s">
        <v>190</v>
      </c>
      <c s="109" t="s">
        <v>59</v>
      </c>
    </row>
    <row r="448" spans="1:2" ht="14.25">
      <c r="A448" s="109" t="s">
        <v>191</v>
      </c>
      <c s="109" t="s">
        <v>59</v>
      </c>
    </row>
    <row r="449" spans="1:2" ht="14.25">
      <c r="A449" s="109" t="s">
        <v>192</v>
      </c>
      <c s="109" t="s">
        <v>59</v>
      </c>
    </row>
    <row r="450" spans="1:2" ht="14.25">
      <c r="A450" s="109" t="s">
        <v>193</v>
      </c>
      <c s="109" t="s">
        <v>59</v>
      </c>
    </row>
    <row r="451" spans="1:2" ht="14.25">
      <c r="A451" s="109" t="s">
        <v>194</v>
      </c>
      <c s="109" t="s">
        <v>59</v>
      </c>
    </row>
    <row r="452" spans="1:2" ht="14.25">
      <c r="A452" s="109" t="s">
        <v>195</v>
      </c>
      <c s="109" t="s">
        <v>59</v>
      </c>
    </row>
    <row r="453" spans="1:2" ht="14.25">
      <c r="A453" s="109" t="s">
        <v>196</v>
      </c>
      <c s="109" t="s">
        <v>59</v>
      </c>
    </row>
    <row r="454" spans="1:2" ht="14.25">
      <c r="A454" s="109" t="s">
        <v>197</v>
      </c>
      <c s="109" t="s">
        <v>59</v>
      </c>
    </row>
    <row r="455" spans="1:2" ht="14.25">
      <c r="A455" s="109" t="s">
        <v>198</v>
      </c>
      <c s="109" t="s">
        <v>59</v>
      </c>
    </row>
    <row r="456" spans="1:2" ht="14.25">
      <c r="A456" s="109" t="s">
        <v>199</v>
      </c>
      <c s="109" t="s">
        <v>59</v>
      </c>
    </row>
    <row r="457" spans="1:2" ht="14.25">
      <c r="A457" s="109" t="s">
        <v>200</v>
      </c>
      <c s="109" t="s">
        <v>59</v>
      </c>
    </row>
    <row r="458" spans="1:2" ht="14.25">
      <c r="A458" s="109" t="s">
        <v>201</v>
      </c>
      <c s="109" t="s">
        <v>59</v>
      </c>
    </row>
    <row r="459" spans="1:2" ht="14.25">
      <c r="A459" s="109" t="s">
        <v>202</v>
      </c>
      <c s="109" t="s">
        <v>59</v>
      </c>
    </row>
    <row r="460" spans="1:2" ht="14.25">
      <c r="A460" s="109" t="s">
        <v>203</v>
      </c>
      <c s="109" t="s">
        <v>59</v>
      </c>
    </row>
    <row r="461" spans="1:2" ht="14.25">
      <c r="A461" s="109" t="s">
        <v>204</v>
      </c>
      <c s="109" t="s">
        <v>59</v>
      </c>
    </row>
    <row r="462" spans="1:2" ht="14.25">
      <c r="A462" s="109" t="s">
        <v>205</v>
      </c>
      <c s="109" t="s">
        <v>59</v>
      </c>
    </row>
    <row r="463" spans="1:2" ht="14.25">
      <c r="A463" s="109" t="s">
        <v>206</v>
      </c>
      <c s="109" t="s">
        <v>59</v>
      </c>
    </row>
    <row r="464" spans="1:2" ht="14.25">
      <c r="A464" s="109" t="s">
        <v>207</v>
      </c>
      <c s="109" t="s">
        <v>59</v>
      </c>
    </row>
    <row r="465" spans="1:2" ht="14.25">
      <c r="A465" s="109" t="s">
        <v>208</v>
      </c>
      <c s="109" t="s">
        <v>59</v>
      </c>
    </row>
    <row r="466" spans="1:2" ht="14.25">
      <c r="A466" s="109" t="s">
        <v>209</v>
      </c>
      <c s="109" t="s">
        <v>59</v>
      </c>
    </row>
    <row r="467" spans="1:2" ht="14.25">
      <c r="A467" s="109" t="s">
        <v>210</v>
      </c>
      <c s="109" t="s">
        <v>59</v>
      </c>
    </row>
    <row r="468" spans="1:2" ht="14.25">
      <c r="A468" s="109" t="s">
        <v>211</v>
      </c>
      <c s="109" t="s">
        <v>59</v>
      </c>
    </row>
    <row r="469" spans="1:2" ht="14.25">
      <c r="A469" s="109" t="s">
        <v>212</v>
      </c>
      <c s="109" t="s">
        <v>59</v>
      </c>
    </row>
    <row r="470" spans="1:2" ht="14.25">
      <c r="A470" s="109" t="s">
        <v>213</v>
      </c>
      <c s="109" t="s">
        <v>59</v>
      </c>
    </row>
    <row r="471" spans="1:2" ht="14.25">
      <c r="A471" s="109" t="s">
        <v>214</v>
      </c>
      <c s="109" t="s">
        <v>59</v>
      </c>
    </row>
    <row r="472" spans="1:2" ht="14.25">
      <c r="A472" s="109" t="s">
        <v>215</v>
      </c>
      <c s="109" t="s">
        <v>59</v>
      </c>
    </row>
    <row r="473" spans="1:2" ht="14.25">
      <c r="A473" s="109" t="s">
        <v>216</v>
      </c>
      <c s="109" t="s">
        <v>59</v>
      </c>
    </row>
    <row r="474" spans="1:2" ht="14.25">
      <c r="A474" s="109" t="s">
        <v>217</v>
      </c>
      <c s="109" t="s">
        <v>59</v>
      </c>
    </row>
    <row r="475" spans="1:2" ht="14.25">
      <c r="A475" s="109" t="s">
        <v>218</v>
      </c>
      <c s="109" t="s">
        <v>59</v>
      </c>
    </row>
    <row r="476" spans="1:2" ht="14.25">
      <c r="A476" s="109" t="s">
        <v>219</v>
      </c>
      <c s="109" t="s">
        <v>59</v>
      </c>
    </row>
    <row r="477" spans="1:2" ht="14.25">
      <c r="A477" s="109" t="s">
        <v>220</v>
      </c>
      <c s="109" t="s">
        <v>59</v>
      </c>
    </row>
    <row r="478" spans="1:2" ht="14.25">
      <c r="A478" s="109" t="s">
        <v>221</v>
      </c>
      <c s="109" t="s">
        <v>59</v>
      </c>
    </row>
    <row r="479" spans="1:2" ht="14.25">
      <c r="A479" s="109" t="s">
        <v>222</v>
      </c>
      <c s="109" t="s">
        <v>59</v>
      </c>
    </row>
    <row r="480" spans="1:2" ht="14.25">
      <c r="A480" s="109" t="s">
        <v>223</v>
      </c>
      <c s="109" t="s">
        <v>59</v>
      </c>
    </row>
    <row r="481" spans="1:2" ht="14.25">
      <c r="A481" s="109" t="s">
        <v>224</v>
      </c>
      <c s="109" t="s">
        <v>59</v>
      </c>
    </row>
    <row r="482" spans="1:2" ht="14.25">
      <c r="A482" s="109" t="s">
        <v>225</v>
      </c>
      <c s="109" t="s">
        <v>59</v>
      </c>
    </row>
    <row r="483" spans="1:2" ht="14.25">
      <c r="A483" s="109" t="s">
        <v>226</v>
      </c>
      <c s="109" t="s">
        <v>59</v>
      </c>
    </row>
    <row r="484" spans="1:2" ht="14.25">
      <c r="A484" s="109" t="s">
        <v>227</v>
      </c>
      <c s="109" t="s">
        <v>59</v>
      </c>
    </row>
    <row r="485" spans="1:2" ht="14.25">
      <c r="A485" s="109" t="s">
        <v>228</v>
      </c>
      <c s="109" t="s">
        <v>59</v>
      </c>
    </row>
    <row r="486" spans="1:2" ht="14.25">
      <c r="A486" s="109" t="s">
        <v>229</v>
      </c>
      <c s="109" t="s">
        <v>59</v>
      </c>
    </row>
    <row r="487" spans="1:2" ht="14.25">
      <c r="A487" s="109" t="s">
        <v>230</v>
      </c>
      <c s="109" t="s">
        <v>59</v>
      </c>
    </row>
    <row r="488" spans="1:2" ht="14.25">
      <c r="A488" s="109" t="s">
        <v>231</v>
      </c>
      <c s="109" t="s">
        <v>59</v>
      </c>
    </row>
    <row r="489" spans="1:2" ht="14.25">
      <c r="A489" s="109" t="s">
        <v>232</v>
      </c>
      <c s="109" t="s">
        <v>59</v>
      </c>
    </row>
    <row r="490" spans="1:2" ht="14.25">
      <c r="A490" s="109" t="s">
        <v>233</v>
      </c>
      <c s="109" t="s">
        <v>59</v>
      </c>
    </row>
    <row r="491" spans="1:2" ht="14.25">
      <c r="A491" s="109" t="s">
        <v>234</v>
      </c>
      <c s="109" t="s">
        <v>59</v>
      </c>
    </row>
    <row r="492" spans="1:2" ht="14.25">
      <c r="A492" s="109" t="s">
        <v>235</v>
      </c>
      <c s="109" t="s">
        <v>59</v>
      </c>
    </row>
    <row r="493" spans="1:2" ht="14.25">
      <c r="A493" s="109" t="s">
        <v>236</v>
      </c>
      <c s="109" t="s">
        <v>59</v>
      </c>
    </row>
    <row r="494" spans="1:2" ht="14.25">
      <c r="A494" s="109" t="s">
        <v>237</v>
      </c>
      <c s="109" t="s">
        <v>59</v>
      </c>
    </row>
    <row r="495" spans="1:2" ht="14.25">
      <c r="A495" s="109" t="s">
        <v>238</v>
      </c>
      <c s="109" t="s">
        <v>59</v>
      </c>
    </row>
    <row r="496" spans="1:2" ht="14.25">
      <c r="A496" s="109" t="s">
        <v>239</v>
      </c>
      <c s="109" t="s">
        <v>59</v>
      </c>
    </row>
    <row r="497" spans="1:2" ht="14.25">
      <c r="A497" s="109" t="s">
        <v>240</v>
      </c>
      <c s="109" t="s">
        <v>59</v>
      </c>
    </row>
    <row r="498" spans="1:2" ht="14.25">
      <c r="A498" s="109" t="s">
        <v>241</v>
      </c>
      <c s="109" t="s">
        <v>59</v>
      </c>
    </row>
    <row r="499" spans="1:2" ht="14.25">
      <c r="A499" s="109" t="s">
        <v>242</v>
      </c>
      <c s="109" t="s">
        <v>59</v>
      </c>
    </row>
    <row r="500" spans="1:2" ht="14.25">
      <c r="A500" s="109" t="s">
        <v>243</v>
      </c>
      <c s="109" t="s">
        <v>59</v>
      </c>
    </row>
    <row r="501" spans="1:2" ht="14.25">
      <c r="A501" s="109" t="s">
        <v>244</v>
      </c>
      <c s="109" t="s">
        <v>59</v>
      </c>
    </row>
    <row r="502" spans="1:2" ht="14.25">
      <c r="A502" s="109" t="s">
        <v>245</v>
      </c>
      <c s="109" t="s">
        <v>59</v>
      </c>
    </row>
    <row r="503" spans="1:2" ht="14.25">
      <c r="A503" s="109" t="s">
        <v>246</v>
      </c>
      <c s="109" t="s">
        <v>59</v>
      </c>
    </row>
    <row r="504" spans="1:2" ht="14.25">
      <c r="A504" s="109" t="s">
        <v>247</v>
      </c>
      <c s="109" t="s">
        <v>59</v>
      </c>
    </row>
    <row r="505" spans="1:2" ht="14.25">
      <c r="A505" s="109" t="s">
        <v>248</v>
      </c>
      <c s="109" t="s">
        <v>59</v>
      </c>
    </row>
    <row r="506" spans="1:2" ht="14.25">
      <c r="A506" s="109" t="s">
        <v>249</v>
      </c>
      <c s="109" t="s">
        <v>59</v>
      </c>
    </row>
    <row r="507" spans="1:2" ht="14.25">
      <c r="A507" s="109" t="s">
        <v>250</v>
      </c>
      <c s="109" t="s">
        <v>59</v>
      </c>
    </row>
    <row r="508" spans="1:2" ht="14.25">
      <c r="A508" s="109" t="s">
        <v>251</v>
      </c>
      <c s="109" t="s">
        <v>59</v>
      </c>
    </row>
    <row r="509" spans="1:2" ht="14.25">
      <c r="A509" s="109" t="s">
        <v>252</v>
      </c>
      <c s="109" t="s">
        <v>59</v>
      </c>
    </row>
    <row r="510" spans="1:2" ht="14.25">
      <c r="A510" s="109" t="s">
        <v>253</v>
      </c>
      <c s="109" t="s">
        <v>59</v>
      </c>
    </row>
    <row r="511" spans="1:2" ht="14.25">
      <c r="A511" s="109" t="s">
        <v>254</v>
      </c>
      <c s="109" t="s">
        <v>59</v>
      </c>
    </row>
    <row r="512" spans="1:2" ht="14.25">
      <c r="A512" s="109" t="s">
        <v>255</v>
      </c>
      <c s="109" t="s">
        <v>59</v>
      </c>
    </row>
    <row r="513" spans="1:2" ht="14.25">
      <c r="A513" s="109" t="s">
        <v>256</v>
      </c>
      <c s="109" t="s">
        <v>59</v>
      </c>
    </row>
    <row r="514" spans="1:2" ht="14.25">
      <c r="A514" s="109" t="s">
        <v>257</v>
      </c>
      <c s="109" t="s">
        <v>59</v>
      </c>
    </row>
    <row r="515" spans="1:2" ht="14.25">
      <c r="A515" s="109" t="s">
        <v>258</v>
      </c>
      <c s="109" t="s">
        <v>59</v>
      </c>
    </row>
    <row r="516" spans="1:2" ht="14.25">
      <c r="A516" s="109" t="s">
        <v>259</v>
      </c>
      <c s="109" t="s">
        <v>59</v>
      </c>
    </row>
    <row r="517" spans="1:2" ht="14.25">
      <c r="A517" s="109" t="s">
        <v>260</v>
      </c>
      <c s="109" t="s">
        <v>59</v>
      </c>
    </row>
    <row r="518" spans="1:2" ht="14.25">
      <c r="A518" s="109" t="s">
        <v>261</v>
      </c>
      <c s="109" t="s">
        <v>59</v>
      </c>
    </row>
    <row r="519" spans="1:2" ht="14.25">
      <c r="A519" s="109" t="s">
        <v>262</v>
      </c>
      <c s="109" t="s">
        <v>59</v>
      </c>
    </row>
    <row r="520" spans="1:2" ht="14.25">
      <c r="A520" s="109" t="s">
        <v>263</v>
      </c>
      <c s="109" t="s">
        <v>59</v>
      </c>
    </row>
    <row r="521" spans="1:2" ht="14.25">
      <c r="A521" s="109" t="s">
        <v>264</v>
      </c>
      <c s="109" t="s">
        <v>59</v>
      </c>
    </row>
    <row r="522" spans="1:2" ht="14.25">
      <c r="A522" s="109" t="s">
        <v>265</v>
      </c>
      <c s="109" t="s">
        <v>59</v>
      </c>
    </row>
    <row r="523" spans="1:2" ht="14.25">
      <c r="A523" s="109" t="s">
        <v>266</v>
      </c>
      <c s="109" t="s">
        <v>59</v>
      </c>
    </row>
    <row r="524" spans="1:2" ht="14.25">
      <c r="A524" s="109" t="s">
        <v>267</v>
      </c>
      <c s="109" t="s">
        <v>59</v>
      </c>
    </row>
    <row r="525" spans="1:2" ht="14.25">
      <c r="A525" s="109" t="s">
        <v>268</v>
      </c>
      <c s="109" t="s">
        <v>59</v>
      </c>
    </row>
    <row r="526" spans="1:2" ht="14.25">
      <c r="A526" s="109" t="s">
        <v>269</v>
      </c>
      <c s="109" t="s">
        <v>59</v>
      </c>
    </row>
    <row r="527" spans="1:2" ht="14.25">
      <c r="A527" s="109" t="s">
        <v>270</v>
      </c>
      <c s="109" t="s">
        <v>59</v>
      </c>
    </row>
    <row r="528" spans="1:2" ht="14.25">
      <c r="A528" s="109" t="s">
        <v>271</v>
      </c>
      <c s="109" t="s">
        <v>59</v>
      </c>
    </row>
    <row r="529" spans="1:2" ht="14.25">
      <c r="A529" s="109" t="s">
        <v>272</v>
      </c>
      <c s="109" t="s">
        <v>59</v>
      </c>
    </row>
    <row r="530" spans="1:2" ht="14.25">
      <c r="A530" s="109" t="s">
        <v>273</v>
      </c>
      <c s="109" t="s">
        <v>59</v>
      </c>
    </row>
    <row r="531" spans="1:2" ht="14.25">
      <c r="A531" s="109" t="s">
        <v>274</v>
      </c>
      <c s="109" t="s">
        <v>59</v>
      </c>
    </row>
    <row r="532" spans="1:2" ht="14.25">
      <c r="A532" s="109" t="s">
        <v>275</v>
      </c>
      <c s="109" t="s">
        <v>59</v>
      </c>
    </row>
    <row r="533" spans="1:2" ht="14.25">
      <c r="A533" s="109" t="s">
        <v>276</v>
      </c>
      <c s="109" t="s">
        <v>59</v>
      </c>
    </row>
    <row r="534" spans="1:2" ht="14.25">
      <c r="A534" s="109" t="s">
        <v>277</v>
      </c>
      <c s="109" t="s">
        <v>59</v>
      </c>
    </row>
    <row r="535" spans="1:2" ht="14.25">
      <c r="A535" s="109" t="s">
        <v>278</v>
      </c>
      <c s="109" t="s">
        <v>59</v>
      </c>
    </row>
    <row r="536" spans="1:2" ht="14.25">
      <c r="A536" s="109" t="s">
        <v>279</v>
      </c>
      <c s="109" t="s">
        <v>59</v>
      </c>
    </row>
    <row r="537" spans="1:2" ht="14.25">
      <c r="A537" s="109" t="s">
        <v>280</v>
      </c>
      <c s="109" t="s">
        <v>59</v>
      </c>
    </row>
    <row r="538" spans="1:2" ht="14.25">
      <c r="A538" s="109" t="s">
        <v>281</v>
      </c>
      <c s="109" t="s">
        <v>59</v>
      </c>
    </row>
    <row r="539" spans="1:2" ht="14.25">
      <c r="A539" s="109" t="s">
        <v>282</v>
      </c>
      <c s="109" t="s">
        <v>59</v>
      </c>
    </row>
    <row r="540" spans="1:2" ht="14.25">
      <c r="A540" s="109" t="s">
        <v>283</v>
      </c>
      <c s="109" t="s">
        <v>59</v>
      </c>
    </row>
    <row r="541" spans="1:2" ht="14.25">
      <c r="A541" s="109" t="s">
        <v>284</v>
      </c>
      <c s="109" t="s">
        <v>59</v>
      </c>
    </row>
    <row r="542" spans="1:2" ht="14.25">
      <c r="A542" s="109" t="s">
        <v>285</v>
      </c>
      <c s="109" t="s">
        <v>59</v>
      </c>
    </row>
    <row r="543" spans="1:2" ht="14.25">
      <c r="A543" s="109" t="s">
        <v>286</v>
      </c>
      <c s="109" t="s">
        <v>59</v>
      </c>
    </row>
    <row r="544" spans="1:2" ht="14.25">
      <c r="A544" s="109" t="s">
        <v>287</v>
      </c>
      <c s="109" t="s">
        <v>59</v>
      </c>
    </row>
    <row r="545" spans="1:2" ht="14.25">
      <c r="A545" s="109" t="s">
        <v>288</v>
      </c>
      <c s="109" t="s">
        <v>59</v>
      </c>
    </row>
    <row r="546" spans="1:2" ht="14.25">
      <c r="A546" s="109" t="s">
        <v>289</v>
      </c>
      <c s="109" t="s">
        <v>59</v>
      </c>
    </row>
    <row r="547" spans="1:2" ht="14.25">
      <c r="A547" s="109" t="s">
        <v>290</v>
      </c>
      <c s="109" t="s">
        <v>59</v>
      </c>
    </row>
    <row r="548" spans="1:2" ht="14.25">
      <c r="A548" s="109" t="s">
        <v>291</v>
      </c>
      <c s="109" t="s">
        <v>59</v>
      </c>
    </row>
    <row r="549" spans="1:2" ht="14.25">
      <c r="A549" s="109" t="s">
        <v>292</v>
      </c>
      <c s="109" t="s">
        <v>59</v>
      </c>
    </row>
    <row r="550" spans="1:2" ht="14.25">
      <c r="A550" s="109" t="s">
        <v>293</v>
      </c>
      <c s="109" t="s">
        <v>59</v>
      </c>
    </row>
    <row r="551" spans="1:2" ht="14.25">
      <c r="A551" s="109" t="s">
        <v>294</v>
      </c>
      <c s="109" t="s">
        <v>59</v>
      </c>
    </row>
    <row r="552" spans="1:2" ht="14.25">
      <c r="A552" s="109" t="s">
        <v>295</v>
      </c>
      <c s="109" t="s">
        <v>59</v>
      </c>
    </row>
    <row r="553" spans="1:2" ht="14.25">
      <c r="A553" s="109" t="s">
        <v>296</v>
      </c>
      <c s="109" t="s">
        <v>59</v>
      </c>
    </row>
    <row r="554" spans="1:2" ht="14.25">
      <c r="A554" s="109" t="s">
        <v>297</v>
      </c>
      <c s="109" t="s">
        <v>59</v>
      </c>
    </row>
    <row r="555" spans="1:2" ht="14.25">
      <c r="A555" s="109" t="s">
        <v>298</v>
      </c>
      <c s="109" t="s">
        <v>59</v>
      </c>
    </row>
    <row r="556" spans="1:2" ht="14.25">
      <c r="A556" s="109" t="s">
        <v>299</v>
      </c>
      <c s="109" t="s">
        <v>59</v>
      </c>
    </row>
    <row r="557" spans="1:2" ht="14.25">
      <c r="A557" s="109" t="s">
        <v>300</v>
      </c>
      <c s="109" t="s">
        <v>59</v>
      </c>
    </row>
    <row r="558" spans="1:2" ht="14.25">
      <c r="A558" s="109" t="s">
        <v>301</v>
      </c>
      <c s="109" t="s">
        <v>59</v>
      </c>
    </row>
    <row r="559" spans="1:2" ht="14.25">
      <c r="A559" s="109" t="s">
        <v>302</v>
      </c>
      <c s="109" t="s">
        <v>59</v>
      </c>
    </row>
    <row r="560" spans="1:2" ht="14.25">
      <c r="A560" s="109" t="s">
        <v>303</v>
      </c>
      <c s="109" t="s">
        <v>59</v>
      </c>
    </row>
    <row r="561" spans="1:2" ht="14.25">
      <c r="A561" s="109" t="s">
        <v>304</v>
      </c>
      <c s="109" t="s">
        <v>59</v>
      </c>
    </row>
    <row r="562" spans="1:2" ht="14.25">
      <c r="A562" s="109" t="s">
        <v>305</v>
      </c>
      <c s="109" t="s">
        <v>59</v>
      </c>
    </row>
    <row r="563" spans="1:2" ht="14.25">
      <c r="A563" s="109" t="s">
        <v>306</v>
      </c>
      <c s="109" t="s">
        <v>59</v>
      </c>
    </row>
    <row r="564" spans="1:2" ht="14.25">
      <c r="A564" s="109" t="s">
        <v>307</v>
      </c>
      <c s="109" t="s">
        <v>59</v>
      </c>
    </row>
    <row r="565" spans="1:2" ht="14.25">
      <c r="A565" s="109" t="s">
        <v>308</v>
      </c>
      <c s="109" t="s">
        <v>59</v>
      </c>
    </row>
    <row r="566" spans="1:2" ht="14.25">
      <c r="A566" s="109" t="s">
        <v>309</v>
      </c>
      <c s="109" t="s">
        <v>59</v>
      </c>
    </row>
    <row r="567" spans="1:2" ht="14.25">
      <c r="A567" s="109" t="s">
        <v>310</v>
      </c>
      <c s="109" t="s">
        <v>59</v>
      </c>
    </row>
    <row r="568" spans="1:2" ht="14.25">
      <c r="A568" s="109" t="s">
        <v>311</v>
      </c>
      <c s="109" t="s">
        <v>59</v>
      </c>
    </row>
    <row r="569" spans="1:2" ht="14.25">
      <c r="A569" s="109" t="s">
        <v>312</v>
      </c>
      <c s="109" t="s">
        <v>59</v>
      </c>
    </row>
    <row r="570" spans="1:2" ht="14.25">
      <c r="A570" s="109" t="s">
        <v>313</v>
      </c>
      <c s="109" t="s">
        <v>59</v>
      </c>
    </row>
    <row r="571" spans="1:2" ht="14.25">
      <c r="A571" s="109" t="s">
        <v>314</v>
      </c>
      <c s="109" t="s">
        <v>59</v>
      </c>
    </row>
    <row r="572" spans="1:2" ht="14.25">
      <c r="A572" s="109" t="s">
        <v>315</v>
      </c>
      <c s="109" t="s">
        <v>59</v>
      </c>
    </row>
    <row r="573" spans="1:2" ht="14.25">
      <c r="A573" s="109" t="s">
        <v>316</v>
      </c>
      <c s="109" t="s">
        <v>59</v>
      </c>
    </row>
    <row r="574" spans="1:2" ht="14.25">
      <c r="A574" s="109" t="s">
        <v>317</v>
      </c>
      <c s="109" t="s">
        <v>59</v>
      </c>
    </row>
    <row r="575" spans="1:2" ht="14.25">
      <c r="A575" s="109" t="s">
        <v>318</v>
      </c>
      <c s="109" t="s">
        <v>59</v>
      </c>
    </row>
    <row r="576" spans="1:2" ht="14.25">
      <c r="A576" s="109" t="s">
        <v>319</v>
      </c>
      <c s="109" t="s">
        <v>59</v>
      </c>
    </row>
    <row r="577" spans="1:2" ht="14.25">
      <c r="A577" s="109" t="s">
        <v>320</v>
      </c>
      <c s="109" t="s">
        <v>59</v>
      </c>
    </row>
    <row r="578" spans="1:2" ht="14.25">
      <c r="A578" s="109" t="s">
        <v>321</v>
      </c>
      <c s="109" t="s">
        <v>59</v>
      </c>
    </row>
    <row r="579" spans="1:2" ht="14.25">
      <c r="A579" s="109" t="s">
        <v>322</v>
      </c>
      <c s="109" t="s">
        <v>59</v>
      </c>
    </row>
    <row r="580" spans="1:2" ht="14.25">
      <c r="A580" s="109" t="s">
        <v>323</v>
      </c>
      <c s="109" t="s">
        <v>59</v>
      </c>
    </row>
    <row r="581" spans="1:2" ht="14.25">
      <c r="A581" s="109" t="s">
        <v>324</v>
      </c>
      <c s="109" t="s">
        <v>59</v>
      </c>
    </row>
    <row r="582" spans="1:2" ht="14.25">
      <c r="A582" s="109" t="s">
        <v>325</v>
      </c>
      <c s="109" t="s">
        <v>59</v>
      </c>
    </row>
    <row r="583" spans="1:2" ht="14.25">
      <c r="A583" s="109" t="s">
        <v>326</v>
      </c>
      <c s="109" t="s">
        <v>61</v>
      </c>
    </row>
    <row r="584" spans="1:2" ht="14.25">
      <c r="A584" s="109" t="s">
        <v>327</v>
      </c>
      <c s="109" t="s">
        <v>61</v>
      </c>
    </row>
    <row r="585" spans="1:2" ht="14.25">
      <c r="A585" s="109" t="s">
        <v>328</v>
      </c>
      <c s="109" t="s">
        <v>61</v>
      </c>
    </row>
    <row r="586" spans="1:2" ht="14.25">
      <c r="A586" s="109" t="s">
        <v>329</v>
      </c>
      <c s="109" t="s">
        <v>61</v>
      </c>
    </row>
    <row r="587" spans="1:2" ht="14.25">
      <c r="A587" s="109" t="s">
        <v>330</v>
      </c>
      <c s="109" t="s">
        <v>61</v>
      </c>
    </row>
    <row r="588" spans="1:2" ht="14.25">
      <c r="A588" s="109" t="s">
        <v>331</v>
      </c>
      <c s="109" t="s">
        <v>61</v>
      </c>
    </row>
    <row r="589" spans="1:2" ht="14.25">
      <c r="A589" s="109" t="s">
        <v>332</v>
      </c>
      <c s="109" t="s">
        <v>61</v>
      </c>
    </row>
    <row r="590" spans="1:2" ht="14.25">
      <c r="A590" s="109" t="s">
        <v>333</v>
      </c>
      <c s="109" t="s">
        <v>61</v>
      </c>
    </row>
    <row r="591" spans="1:2" ht="14.25">
      <c r="A591" s="109" t="s">
        <v>334</v>
      </c>
      <c s="109" t="s">
        <v>61</v>
      </c>
    </row>
    <row r="592" spans="1:2" ht="14.25">
      <c r="A592" s="109" t="s">
        <v>335</v>
      </c>
      <c s="109" t="s">
        <v>61</v>
      </c>
    </row>
    <row r="593" spans="1:2" ht="14.25">
      <c r="A593" s="109" t="s">
        <v>336</v>
      </c>
      <c s="109" t="s">
        <v>61</v>
      </c>
    </row>
    <row r="594" spans="1:2" ht="14.25">
      <c r="A594" s="109" t="s">
        <v>337</v>
      </c>
      <c s="109" t="s">
        <v>61</v>
      </c>
    </row>
    <row r="595" spans="1:2" ht="14.25">
      <c r="A595" s="109" t="s">
        <v>338</v>
      </c>
      <c s="109" t="s">
        <v>61</v>
      </c>
    </row>
    <row r="596" spans="1:2" ht="14.25">
      <c r="A596" s="109" t="s">
        <v>339</v>
      </c>
      <c s="109" t="s">
        <v>61</v>
      </c>
    </row>
    <row r="597" spans="1:2" ht="14.25">
      <c r="A597" s="109" t="s">
        <v>340</v>
      </c>
      <c s="109" t="s">
        <v>61</v>
      </c>
    </row>
    <row r="598" spans="1:2" ht="14.25">
      <c r="A598" s="109" t="s">
        <v>341</v>
      </c>
      <c s="109" t="s">
        <v>61</v>
      </c>
    </row>
    <row r="599" spans="1:2" ht="14.25">
      <c r="A599" s="109" t="s">
        <v>342</v>
      </c>
      <c s="109" t="s">
        <v>61</v>
      </c>
    </row>
    <row r="600" spans="1:2" ht="14.25">
      <c r="A600" s="109" t="s">
        <v>343</v>
      </c>
      <c s="109" t="s">
        <v>61</v>
      </c>
    </row>
    <row r="601" spans="1:2" ht="14.25">
      <c r="A601" s="109" t="s">
        <v>344</v>
      </c>
      <c s="109" t="s">
        <v>61</v>
      </c>
    </row>
    <row r="602" spans="1:2" ht="14.25">
      <c r="A602" s="109" t="s">
        <v>345</v>
      </c>
      <c s="109" t="s">
        <v>61</v>
      </c>
    </row>
    <row r="603" spans="1:2" ht="14.25">
      <c r="A603" s="109" t="s">
        <v>346</v>
      </c>
      <c s="109" t="s">
        <v>61</v>
      </c>
    </row>
    <row r="604" spans="1:2" ht="14.25">
      <c r="A604" s="109" t="s">
        <v>347</v>
      </c>
      <c s="109" t="s">
        <v>61</v>
      </c>
    </row>
    <row r="605" spans="1:2" ht="14.25">
      <c r="A605" s="109" t="s">
        <v>348</v>
      </c>
      <c s="109" t="s">
        <v>61</v>
      </c>
    </row>
    <row r="606" spans="1:2" ht="14.25">
      <c r="A606" s="109" t="s">
        <v>349</v>
      </c>
      <c s="109" t="s">
        <v>61</v>
      </c>
    </row>
    <row r="607" spans="1:2" ht="14.25">
      <c r="A607" s="109" t="s">
        <v>350</v>
      </c>
      <c s="109" t="s">
        <v>61</v>
      </c>
    </row>
    <row r="608" spans="1:2" ht="14.25">
      <c r="A608" s="109" t="s">
        <v>351</v>
      </c>
      <c s="109" t="s">
        <v>61</v>
      </c>
    </row>
    <row r="609" spans="1:2" ht="14.25">
      <c r="A609" s="109" t="s">
        <v>352</v>
      </c>
      <c s="109" t="s">
        <v>61</v>
      </c>
    </row>
    <row r="610" spans="1:2" ht="14.25">
      <c r="A610" s="109" t="s">
        <v>353</v>
      </c>
      <c s="109" t="s">
        <v>61</v>
      </c>
    </row>
    <row r="611" spans="1:2" ht="14.25">
      <c r="A611" s="109" t="s">
        <v>354</v>
      </c>
      <c s="109" t="s">
        <v>61</v>
      </c>
    </row>
    <row r="612" spans="1:2" ht="14.25">
      <c r="A612" s="109" t="s">
        <v>355</v>
      </c>
      <c s="109" t="s">
        <v>61</v>
      </c>
    </row>
    <row r="613" spans="1:2" ht="14.25">
      <c r="A613" s="109" t="s">
        <v>356</v>
      </c>
      <c s="109" t="s">
        <v>61</v>
      </c>
    </row>
    <row r="614" spans="1:2" ht="14.25">
      <c r="A614" s="109" t="s">
        <v>357</v>
      </c>
      <c s="109" t="s">
        <v>61</v>
      </c>
    </row>
    <row r="615" spans="1:2" ht="14.25">
      <c r="A615" s="109" t="s">
        <v>358</v>
      </c>
      <c s="109" t="s">
        <v>61</v>
      </c>
    </row>
    <row r="616" spans="1:2" ht="14.25">
      <c r="A616" s="109" t="s">
        <v>359</v>
      </c>
      <c s="109" t="s">
        <v>61</v>
      </c>
    </row>
    <row r="617" spans="1:2" ht="14.25">
      <c r="A617" s="109" t="s">
        <v>360</v>
      </c>
      <c s="109" t="s">
        <v>61</v>
      </c>
    </row>
    <row r="618" spans="1:2" ht="14.25">
      <c r="A618" s="109" t="s">
        <v>361</v>
      </c>
      <c s="109" t="s">
        <v>61</v>
      </c>
    </row>
    <row r="619" spans="1:2" ht="14.25">
      <c r="A619" s="109" t="s">
        <v>362</v>
      </c>
      <c s="109" t="s">
        <v>61</v>
      </c>
    </row>
    <row r="620" spans="1:2" ht="14.25">
      <c r="A620" s="109" t="s">
        <v>363</v>
      </c>
      <c s="109" t="s">
        <v>61</v>
      </c>
    </row>
    <row r="621" spans="1:2" ht="14.25">
      <c r="A621" s="109" t="s">
        <v>364</v>
      </c>
      <c s="109" t="s">
        <v>61</v>
      </c>
    </row>
    <row r="622" spans="1:2" ht="14.25">
      <c r="A622" s="109" t="s">
        <v>365</v>
      </c>
      <c s="109" t="s">
        <v>61</v>
      </c>
    </row>
    <row r="623" spans="1:2" ht="14.25">
      <c r="A623" s="109" t="s">
        <v>366</v>
      </c>
      <c s="109" t="s">
        <v>61</v>
      </c>
    </row>
    <row r="624" spans="1:2" ht="14.25">
      <c r="A624" s="109" t="s">
        <v>367</v>
      </c>
      <c s="109" t="s">
        <v>61</v>
      </c>
    </row>
    <row r="625" spans="1:2" ht="14.25">
      <c r="A625" s="109" t="s">
        <v>368</v>
      </c>
      <c s="109" t="s">
        <v>61</v>
      </c>
    </row>
    <row r="626" spans="1:2" ht="14.25">
      <c r="A626" s="109" t="s">
        <v>369</v>
      </c>
      <c s="109" t="s">
        <v>61</v>
      </c>
    </row>
    <row r="627" spans="1:2" ht="14.25">
      <c r="A627" s="109" t="s">
        <v>370</v>
      </c>
      <c s="109" t="s">
        <v>61</v>
      </c>
    </row>
    <row r="628" spans="1:2" ht="14.25">
      <c r="A628" s="109" t="s">
        <v>371</v>
      </c>
      <c s="109" t="s">
        <v>61</v>
      </c>
    </row>
    <row r="629" spans="1:2" ht="14.25">
      <c r="A629" s="109" t="s">
        <v>372</v>
      </c>
      <c s="109" t="s">
        <v>61</v>
      </c>
    </row>
    <row r="630" spans="1:2" ht="14.25">
      <c r="A630" s="109" t="s">
        <v>373</v>
      </c>
      <c s="109" t="s">
        <v>61</v>
      </c>
    </row>
    <row r="631" spans="1:2" ht="14.25">
      <c r="A631" s="109" t="s">
        <v>374</v>
      </c>
      <c s="109" t="s">
        <v>61</v>
      </c>
    </row>
    <row r="632" spans="1:2" ht="14.25">
      <c r="A632" s="109" t="s">
        <v>375</v>
      </c>
      <c s="109" t="s">
        <v>61</v>
      </c>
    </row>
    <row r="633" spans="1:2" ht="14.25">
      <c r="A633" s="109" t="s">
        <v>376</v>
      </c>
      <c s="109" t="s">
        <v>61</v>
      </c>
    </row>
    <row r="634" spans="1:2" ht="14.25">
      <c r="A634" s="109" t="s">
        <v>377</v>
      </c>
      <c s="109" t="s">
        <v>61</v>
      </c>
    </row>
    <row r="635" spans="1:2" ht="14.25">
      <c r="A635" s="109" t="s">
        <v>378</v>
      </c>
      <c s="109" t="s">
        <v>61</v>
      </c>
    </row>
    <row r="636" spans="1:2" ht="14.25">
      <c r="A636" s="109" t="s">
        <v>379</v>
      </c>
      <c s="109" t="s">
        <v>61</v>
      </c>
    </row>
    <row r="637" spans="1:2" ht="14.25">
      <c r="A637" s="109" t="s">
        <v>380</v>
      </c>
      <c s="109" t="s">
        <v>61</v>
      </c>
    </row>
    <row r="638" spans="1:2" ht="14.25">
      <c r="A638" s="109" t="s">
        <v>381</v>
      </c>
      <c s="109" t="s">
        <v>61</v>
      </c>
    </row>
    <row r="639" spans="1:2" ht="14.25">
      <c r="A639" s="109" t="s">
        <v>382</v>
      </c>
      <c s="109" t="s">
        <v>61</v>
      </c>
    </row>
    <row r="640" spans="1:2" ht="14.25">
      <c r="A640" s="109" t="s">
        <v>383</v>
      </c>
      <c s="109" t="s">
        <v>61</v>
      </c>
    </row>
    <row r="641" spans="1:2" ht="14.25">
      <c r="A641" s="109" t="s">
        <v>384</v>
      </c>
      <c s="109" t="s">
        <v>61</v>
      </c>
    </row>
    <row r="642" spans="1:2" ht="14.25">
      <c r="A642" s="109" t="s">
        <v>385</v>
      </c>
      <c s="109" t="s">
        <v>61</v>
      </c>
    </row>
    <row r="643" spans="1:2" ht="14.25">
      <c r="A643" s="109" t="s">
        <v>386</v>
      </c>
      <c s="109" t="s">
        <v>61</v>
      </c>
    </row>
    <row r="644" spans="1:2" ht="14.25">
      <c r="A644" s="109" t="s">
        <v>387</v>
      </c>
      <c s="109" t="s">
        <v>61</v>
      </c>
    </row>
    <row r="645" spans="1:2" ht="14.25">
      <c r="A645" s="109" t="s">
        <v>388</v>
      </c>
      <c s="109" t="s">
        <v>61</v>
      </c>
    </row>
    <row r="646" spans="1:2" ht="14.25">
      <c r="A646" s="109" t="s">
        <v>389</v>
      </c>
      <c s="109" t="s">
        <v>65</v>
      </c>
    </row>
  </sheetData>
  <mergeCells count="102">
    <mergeCell ref="E45:F47"/>
    <mergeCell ref="I45:J47"/>
    <mergeCell ref="M45:N47"/>
    <mergeCell ref="Q45:R47"/>
    <mergeCell ref="U45:V47"/>
    <mergeCell ref="Y45:Z47"/>
    <mergeCell ref="AC45:AD47"/>
    <mergeCell ref="AG45:AH47"/>
    <mergeCell ref="EC101:EH101"/>
    <mergeCell ref="EI109:EJ109"/>
    <mergeCell ref="AC48:AD50"/>
    <mergeCell ref="AG48:AH50"/>
    <mergeCell ref="E51:F53"/>
    <mergeCell ref="I51:J53"/>
    <mergeCell ref="M51:N53"/>
    <mergeCell ref="Q51:R53"/>
    <mergeCell ref="M48:N50"/>
    <mergeCell ref="Q48:R50"/>
    <mergeCell ref="U48:V50"/>
    <mergeCell ref="Y48:Z50"/>
    <mergeCell ref="U51:V53"/>
    <mergeCell ref="Y51:Z53"/>
    <mergeCell ref="AC51:AD53"/>
    <mergeCell ref="AG51:AH53"/>
    <mergeCell ref="E48:F50"/>
    <mergeCell ref="I48:J50"/>
    <mergeCell ref="C57:AI57"/>
    <mergeCell ref="AC39:AD41"/>
    <mergeCell ref="AG39:AH41"/>
    <mergeCell ref="E42:F44"/>
    <mergeCell ref="I42:J44"/>
    <mergeCell ref="M42:N44"/>
    <mergeCell ref="Q42:R44"/>
    <mergeCell ref="U42:V44"/>
    <mergeCell ref="Y42:Z44"/>
    <mergeCell ref="AC42:AD44"/>
    <mergeCell ref="AG42:AH44"/>
    <mergeCell ref="E39:F41"/>
    <mergeCell ref="I39:J41"/>
    <mergeCell ref="M39:N41"/>
    <mergeCell ref="Q39:R41"/>
    <mergeCell ref="U39:V41"/>
    <mergeCell ref="Y39:Z41"/>
    <mergeCell ref="D34:F34"/>
    <mergeCell ref="H34:J34"/>
    <mergeCell ref="L34:N34"/>
    <mergeCell ref="P34:R34"/>
    <mergeCell ref="T34:V34"/>
    <mergeCell ref="X34:Z34"/>
    <mergeCell ref="AB34:AD34"/>
    <mergeCell ref="AF34:AH34"/>
    <mergeCell ref="E36:F38"/>
    <mergeCell ref="I36:J38"/>
    <mergeCell ref="M36:N38"/>
    <mergeCell ref="Q36:R38"/>
    <mergeCell ref="U36:V38"/>
    <mergeCell ref="Y36:Z38"/>
    <mergeCell ref="AC36:AD38"/>
    <mergeCell ref="AG36:AH38"/>
    <mergeCell ref="E28:J28"/>
    <mergeCell ref="L28:Q28"/>
    <mergeCell ref="V28:AA28"/>
    <mergeCell ref="AB28:AG29"/>
    <mergeCell ref="E29:J29"/>
    <mergeCell ref="L29:Q29"/>
    <mergeCell ref="V29:AA29"/>
    <mergeCell ref="D33:F33"/>
    <mergeCell ref="H33:J33"/>
    <mergeCell ref="L33:N33"/>
    <mergeCell ref="P33:R33"/>
    <mergeCell ref="T33:V33"/>
    <mergeCell ref="X33:Z33"/>
    <mergeCell ref="AB33:AD33"/>
    <mergeCell ref="AF33:AH33"/>
    <mergeCell ref="D19:I20"/>
    <mergeCell ref="J19:O19"/>
    <mergeCell ref="R19:W19"/>
    <mergeCell ref="Z19:AG21"/>
    <mergeCell ref="J20:O21"/>
    <mergeCell ref="R20:W21"/>
    <mergeCell ref="D21:I21"/>
    <mergeCell ref="D25:R25"/>
    <mergeCell ref="T25:AH25"/>
    <mergeCell ref="V8:AA8"/>
    <mergeCell ref="V9:AA9"/>
    <mergeCell ref="P11:U11"/>
    <mergeCell ref="AB11:AG11"/>
    <mergeCell ref="P12:U13"/>
    <mergeCell ref="AB12:AG13"/>
    <mergeCell ref="J15:O15"/>
    <mergeCell ref="V15:AA15"/>
    <mergeCell ref="J16:O16"/>
    <mergeCell ref="V16:AA16"/>
    <mergeCell ref="T1:Y1"/>
    <mergeCell ref="AA1:AJ1"/>
    <mergeCell ref="T2:Y2"/>
    <mergeCell ref="AA2:AJ2"/>
    <mergeCell ref="AL2:AL4"/>
    <mergeCell ref="T3:Y3"/>
    <mergeCell ref="AA3:AJ3"/>
    <mergeCell ref="T4:Y4"/>
    <mergeCell ref="AA4:AJ4"/>
  </mergeCells>
  <conditionalFormatting sqref="M14">
    <cfRule type="cellIs" priority="197" dxfId="5" operator="lessThan" stopIfTrue="1">
      <formula>0</formula>
    </cfRule>
    <cfRule type="cellIs" priority="196" dxfId="4" operator="greaterThan" stopIfTrue="1">
      <formula>0</formula>
    </cfRule>
  </conditionalFormatting>
  <conditionalFormatting sqref="D36">
    <cfRule type="expression" priority="195" dxfId="6">
      <formula>D36&lt;&gt;""</formula>
    </cfRule>
  </conditionalFormatting>
  <conditionalFormatting sqref="D37">
    <cfRule type="containsText" priority="147" dxfId="4" operator="containsText" stopIfTrue="1" text="*+">
      <formula>NOT(ISERROR(SEARCH("*+",D37)))</formula>
    </cfRule>
    <cfRule type="containsText" priority="146" dxfId="5" operator="containsText" stopIfTrue="1" text="*-">
      <formula>NOT(ISERROR(SEARCH("*-",D37)))</formula>
    </cfRule>
  </conditionalFormatting>
  <conditionalFormatting sqref="AL8:AL13">
    <cfRule type="containsText" priority="47" dxfId="0" operator="containsText" stopIfTrue="1" text="Retailer">
      <formula>NOT(ISERROR(SEARCH("Retailer",AL8)))</formula>
    </cfRule>
    <cfRule type="cellIs" priority="46" dxfId="1" operator="equal" stopIfTrue="1">
      <formula>"Retailer"</formula>
    </cfRule>
  </conditionalFormatting>
  <conditionalFormatting sqref="D39 D42 D45 D48 D51">
    <cfRule type="expression" priority="45" dxfId="6">
      <formula>D39&lt;&gt;""</formula>
    </cfRule>
  </conditionalFormatting>
  <conditionalFormatting sqref="D40 D43 D46 D49 D52">
    <cfRule type="containsText" priority="44" dxfId="4" operator="containsText" stopIfTrue="1" text="*+">
      <formula>NOT(ISERROR(SEARCH("*+",D40)))</formula>
    </cfRule>
    <cfRule type="containsText" priority="43" dxfId="5" operator="containsText" stopIfTrue="1" text="*-">
      <formula>NOT(ISERROR(SEARCH("*-",D40)))</formula>
    </cfRule>
  </conditionalFormatting>
  <conditionalFormatting sqref="H36">
    <cfRule type="expression" priority="42" dxfId="6">
      <formula>H36&lt;&gt;""</formula>
    </cfRule>
  </conditionalFormatting>
  <conditionalFormatting sqref="H37">
    <cfRule type="containsText" priority="41" dxfId="4" operator="containsText" stopIfTrue="1" text="*+">
      <formula>NOT(ISERROR(SEARCH("*+",H37)))</formula>
    </cfRule>
    <cfRule type="containsText" priority="40" dxfId="5" operator="containsText" stopIfTrue="1" text="*-">
      <formula>NOT(ISERROR(SEARCH("*-",H37)))</formula>
    </cfRule>
  </conditionalFormatting>
  <conditionalFormatting sqref="H39 H42 H45 H48 H51">
    <cfRule type="expression" priority="39" dxfId="6">
      <formula>H39&lt;&gt;""</formula>
    </cfRule>
  </conditionalFormatting>
  <conditionalFormatting sqref="H40 H43 H46 H49 H52">
    <cfRule type="containsText" priority="38" dxfId="4" operator="containsText" stopIfTrue="1" text="*+">
      <formula>NOT(ISERROR(SEARCH("*+",H40)))</formula>
    </cfRule>
    <cfRule type="containsText" priority="37" dxfId="5" operator="containsText" stopIfTrue="1" text="*-">
      <formula>NOT(ISERROR(SEARCH("*-",H40)))</formula>
    </cfRule>
  </conditionalFormatting>
  <conditionalFormatting sqref="L36">
    <cfRule type="expression" priority="36" dxfId="6">
      <formula>L36&lt;&gt;""</formula>
    </cfRule>
  </conditionalFormatting>
  <conditionalFormatting sqref="L37">
    <cfRule type="containsText" priority="35" dxfId="4" operator="containsText" stopIfTrue="1" text="*+">
      <formula>NOT(ISERROR(SEARCH("*+",L37)))</formula>
    </cfRule>
    <cfRule type="containsText" priority="34" dxfId="5" operator="containsText" stopIfTrue="1" text="*-">
      <formula>NOT(ISERROR(SEARCH("*-",L37)))</formula>
    </cfRule>
  </conditionalFormatting>
  <conditionalFormatting sqref="L39 L42 L45 L48 L51">
    <cfRule type="expression" priority="33" dxfId="6">
      <formula>L39&lt;&gt;""</formula>
    </cfRule>
  </conditionalFormatting>
  <conditionalFormatting sqref="L40 L43 L46 L49 L52">
    <cfRule type="containsText" priority="32" dxfId="4" operator="containsText" stopIfTrue="1" text="*+">
      <formula>NOT(ISERROR(SEARCH("*+",L40)))</formula>
    </cfRule>
    <cfRule type="containsText" priority="31" dxfId="5" operator="containsText" stopIfTrue="1" text="*-">
      <formula>NOT(ISERROR(SEARCH("*-",L40)))</formula>
    </cfRule>
  </conditionalFormatting>
  <conditionalFormatting sqref="P36">
    <cfRule type="expression" priority="30" dxfId="6">
      <formula>P36&lt;&gt;""</formula>
    </cfRule>
  </conditionalFormatting>
  <conditionalFormatting sqref="P37">
    <cfRule type="containsText" priority="29" dxfId="4" operator="containsText" stopIfTrue="1" text="*+">
      <formula>NOT(ISERROR(SEARCH("*+",P37)))</formula>
    </cfRule>
    <cfRule type="containsText" priority="28" dxfId="5" operator="containsText" stopIfTrue="1" text="*-">
      <formula>NOT(ISERROR(SEARCH("*-",P37)))</formula>
    </cfRule>
  </conditionalFormatting>
  <conditionalFormatting sqref="P39 P42 P45 P48 P51">
    <cfRule type="expression" priority="27" dxfId="6">
      <formula>P39&lt;&gt;""</formula>
    </cfRule>
  </conditionalFormatting>
  <conditionalFormatting sqref="P40 P43 P46 P49 P52">
    <cfRule type="containsText" priority="26" dxfId="4" operator="containsText" stopIfTrue="1" text="*+">
      <formula>NOT(ISERROR(SEARCH("*+",P40)))</formula>
    </cfRule>
    <cfRule type="containsText" priority="25" dxfId="5" operator="containsText" stopIfTrue="1" text="*-">
      <formula>NOT(ISERROR(SEARCH("*-",P40)))</formula>
    </cfRule>
  </conditionalFormatting>
  <conditionalFormatting sqref="T36">
    <cfRule type="expression" priority="24" dxfId="6">
      <formula>T36&lt;&gt;""</formula>
    </cfRule>
  </conditionalFormatting>
  <conditionalFormatting sqref="T37">
    <cfRule type="containsText" priority="23" dxfId="4" operator="containsText" stopIfTrue="1" text="*+">
      <formula>NOT(ISERROR(SEARCH("*+",T37)))</formula>
    </cfRule>
    <cfRule type="containsText" priority="22" dxfId="5" operator="containsText" stopIfTrue="1" text="*-">
      <formula>NOT(ISERROR(SEARCH("*-",T37)))</formula>
    </cfRule>
  </conditionalFormatting>
  <conditionalFormatting sqref="T39 T42 T45 T48 T51">
    <cfRule type="expression" priority="21" dxfId="6">
      <formula>T39&lt;&gt;""</formula>
    </cfRule>
  </conditionalFormatting>
  <conditionalFormatting sqref="T40 T43 T46 T49 T52">
    <cfRule type="containsText" priority="20" dxfId="4" operator="containsText" stopIfTrue="1" text="*+">
      <formula>NOT(ISERROR(SEARCH("*+",T40)))</formula>
    </cfRule>
    <cfRule type="containsText" priority="19" dxfId="5" operator="containsText" stopIfTrue="1" text="*-">
      <formula>NOT(ISERROR(SEARCH("*-",T40)))</formula>
    </cfRule>
  </conditionalFormatting>
  <conditionalFormatting sqref="X36">
    <cfRule type="expression" priority="18" dxfId="6">
      <formula>X36&lt;&gt;""</formula>
    </cfRule>
  </conditionalFormatting>
  <conditionalFormatting sqref="X37">
    <cfRule type="containsText" priority="17" dxfId="4" operator="containsText" stopIfTrue="1" text="*+">
      <formula>NOT(ISERROR(SEARCH("*+",X37)))</formula>
    </cfRule>
    <cfRule type="containsText" priority="16" dxfId="5" operator="containsText" stopIfTrue="1" text="*-">
      <formula>NOT(ISERROR(SEARCH("*-",X37)))</formula>
    </cfRule>
  </conditionalFormatting>
  <conditionalFormatting sqref="X39 X42 X45 X48 X51">
    <cfRule type="expression" priority="15" dxfId="6">
      <formula>X39&lt;&gt;""</formula>
    </cfRule>
  </conditionalFormatting>
  <conditionalFormatting sqref="X40 X43 X46 X49 X52">
    <cfRule type="containsText" priority="14" dxfId="4" operator="containsText" stopIfTrue="1" text="*+">
      <formula>NOT(ISERROR(SEARCH("*+",X40)))</formula>
    </cfRule>
    <cfRule type="containsText" priority="13" dxfId="5" operator="containsText" stopIfTrue="1" text="*-">
      <formula>NOT(ISERROR(SEARCH("*-",X40)))</formula>
    </cfRule>
  </conditionalFormatting>
  <conditionalFormatting sqref="AB36">
    <cfRule type="expression" priority="12" dxfId="6">
      <formula>AB36&lt;&gt;""</formula>
    </cfRule>
  </conditionalFormatting>
  <conditionalFormatting sqref="AB37">
    <cfRule type="containsText" priority="11" dxfId="4" operator="containsText" stopIfTrue="1" text="*+">
      <formula>NOT(ISERROR(SEARCH("*+",AB37)))</formula>
    </cfRule>
    <cfRule type="containsText" priority="10" dxfId="5" operator="containsText" stopIfTrue="1" text="*-">
      <formula>NOT(ISERROR(SEARCH("*-",AB37)))</formula>
    </cfRule>
  </conditionalFormatting>
  <conditionalFormatting sqref="AB39 AB42 AB45 AB48 AB51">
    <cfRule type="expression" priority="9" dxfId="6">
      <formula>AB39&lt;&gt;""</formula>
    </cfRule>
  </conditionalFormatting>
  <conditionalFormatting sqref="AB40 AB43 AB46 AB49 AB52">
    <cfRule type="containsText" priority="8" dxfId="4" operator="containsText" stopIfTrue="1" text="*+">
      <formula>NOT(ISERROR(SEARCH("*+",AB40)))</formula>
    </cfRule>
    <cfRule type="containsText" priority="7" dxfId="5" operator="containsText" stopIfTrue="1" text="*-">
      <formula>NOT(ISERROR(SEARCH("*-",AB40)))</formula>
    </cfRule>
  </conditionalFormatting>
  <conditionalFormatting sqref="AF36">
    <cfRule type="expression" priority="6" dxfId="6">
      <formula>AF36&lt;&gt;""</formula>
    </cfRule>
  </conditionalFormatting>
  <conditionalFormatting sqref="AF37">
    <cfRule type="containsText" priority="5" dxfId="4" operator="containsText" stopIfTrue="1" text="*+">
      <formula>NOT(ISERROR(SEARCH("*+",AF37)))</formula>
    </cfRule>
    <cfRule type="containsText" priority="4" dxfId="5" operator="containsText" stopIfTrue="1" text="*-">
      <formula>NOT(ISERROR(SEARCH("*-",AF37)))</formula>
    </cfRule>
  </conditionalFormatting>
  <conditionalFormatting sqref="AF39 AF42 AF45 AF48 AF51">
    <cfRule type="expression" priority="3" dxfId="6">
      <formula>AF39&lt;&gt;""</formula>
    </cfRule>
  </conditionalFormatting>
  <conditionalFormatting sqref="AF40 AF43 AF46 AF49 AF52">
    <cfRule type="containsText" priority="2" dxfId="4" operator="containsText" stopIfTrue="1" text="*+">
      <formula>NOT(ISERROR(SEARCH("*+",AF40)))</formula>
    </cfRule>
    <cfRule type="containsText" priority="1" dxfId="5" operator="containsText" stopIfTrue="1" text="*-">
      <formula>NOT(ISERROR(SEARCH("*-",AF40)))</formula>
    </cfRule>
  </conditionalFormatting>
  <dataValidations count="1">
    <dataValidation type="list" allowBlank="1" showInputMessage="1" showErrorMessage="1" sqref="AL8:AL13">
      <formula1>$CV$110:$CV$260</formula1>
    </dataValidation>
  </dataValidations>
  <printOptions/>
  <pageMargins left="0.3" right="0.3" top="0.3" bottom="0.3" header="0.3" footer="0.3"/>
  <pageSetup horizontalDpi="600" verticalDpi="600" orientation="landscape" scale="79"/>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Template/>
  <Manager/>
  <Company>IRI</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Edmund C. DeCaria</dc:creator>
  <cp:keywords/>
  <dc:description>Final 1.03 version of leakage tree template, with annotated example.</dc:description>
  <cp:lastModifiedBy>Wendy Bierman</cp:lastModifiedBy>
  <cp:lastPrinted>2012-12-04T22:29:07Z</cp:lastPrinted>
  <dcterms:created xsi:type="dcterms:W3CDTF">2010-07-16T17:51:28Z</dcterms:created>
  <dcterms:modified xsi:type="dcterms:W3CDTF">2016-02-16T22:56:32Z</dcterms:modified>
  <cp:category/>
  <cp:contentType/>
  <cp:contentStatus/>
</cp:coreProperties>
</file>