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omments1.xml" ContentType="application/vnd.openxmlformats-officedocument.spreadsheetml.comments+xml"/>
  <Default Extension="vml" ContentType="application/vnd.openxmlformats-officedocument.vmlDrawing"/>
  <Override PartName="/xl/worksheets/sheet2.xml" ContentType="application/vnd.openxmlformats-officedocument.spreadsheetml.worksheet+xml"/>
  <Override PartName="/xl/comments2.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Default Extension="bin" ContentType="application/vnd.openxmlformats-officedocument.spreadsheetml.printerSettings"/>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5.xml" ContentType="application/vnd.openxmlformats-officedocument.customXml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40" yWindow="120" windowWidth="14940" windowHeight="9225" activeTab="0"/>
  </bookViews>
  <sheets>
    <sheet name="Picture" sheetId="1" r:id="rId1"/>
    <sheet name="Annotated Example" sheetId="2" r:id="rId2"/>
  </sheets>
  <externalReferences>
    <externalReference r:id="rId6"/>
  </externalReferences>
  <definedNames>
    <definedName name="LeakageTreePicture" localSheetId="1">'Annotated Example'!$C$7:$AI$54</definedName>
    <definedName name="LeakageTreePicture">Picture!$C$7:$AI$54</definedName>
    <definedName name="_xlnm.Print_Area" localSheetId="1">'Annotated Example'!$B$6:$AJ$55</definedName>
  </definedNames>
  <calcPr calcId="125725"/>
  <webPublishing/>
</workbook>
</file>

<file path=xl/comments1.xml><?xml version="1.0" encoding="utf-8"?>
<comments xmlns="http://schemas.openxmlformats.org/spreadsheetml/2006/main">
  <authors>
    <author>Edmund C. DeCaria</author>
  </authors>
  <commentList>
    <comment ref="EE110" authorId="0">
      <text>
        <r>
          <rPr>
            <b/>
            <sz val="9"/>
            <rFont val="Tahoma"/>
            <family val="0"/>
          </rPr>
          <t xml:space="preserve">Corner Case:
</t>
        </r>
        <r>
          <rPr>
            <sz val="9"/>
            <rFont val="Tahoma"/>
            <family val="0"/>
          </rPr>
          <t>If Food channel sales are not null for YA, but WM NeighMkts is null for YA, channel will still report full value even though WM NeighMkts should be backed out. Similarly, if MASS/SUPCEN channel sales are not null for YA, but Walmart Mass/SC is null for YA, channel will still report full value even though Walmart Mass/SC should be backed out.</t>
        </r>
      </text>
    </comment>
    <comment ref="EF110" authorId="0">
      <text>
        <r>
          <rPr>
            <b/>
            <sz val="9"/>
            <rFont val="Tahoma"/>
            <family val="0"/>
          </rPr>
          <t xml:space="preserve">Corner Case:
</t>
        </r>
        <r>
          <rPr>
            <sz val="9"/>
            <rFont val="Tahoma"/>
            <family val="0"/>
          </rPr>
          <t>If Food channel sales are not null for YA, but WM NeighMkts is null for YA, channel will still report full value even though WM NeighMkts should be backed out. Similarly, if MASS/SUPCEN channel sales are not null for YA, but Walmart Mass/SC is null for YA, channel will still report full value even though Walmart Mass/SC should be backed out.</t>
        </r>
      </text>
    </comment>
    <comment ref="CW111" authorId="0">
      <text>
        <r>
          <rPr>
            <sz val="9"/>
            <rFont val="Tahoma"/>
            <family val="0"/>
          </rPr>
          <t>IFERROR check designed because geography name COULD have 2+ instances of " - "</t>
        </r>
      </text>
    </comment>
  </commentList>
</comments>
</file>

<file path=xl/comments2.xml><?xml version="1.0" encoding="utf-8"?>
<comments xmlns="http://schemas.openxmlformats.org/spreadsheetml/2006/main">
  <authors>
    <author>Edmund C. DeCaria</author>
  </authors>
  <commentList>
    <comment ref="AA1" authorId="0">
      <text>
        <r>
          <rPr>
            <sz val="8"/>
            <rFont val="Tahoma"/>
            <family val="0"/>
          </rPr>
          <t>Select to show magnitude of buyers/dollars converted/leaked.</t>
        </r>
      </text>
    </comment>
    <comment ref="AL1" authorId="0">
      <text>
        <r>
          <rPr>
            <sz val="8"/>
            <rFont val="Tahoma"/>
            <family val="0"/>
          </rPr>
          <t>Most often used for RMA-based leakage trees where user must remove KA retailers that are under the RMA umbrella. Typically only one Retailer is removed, but extra slots are provided in case other needs arise.</t>
        </r>
      </text>
    </comment>
    <comment ref="AA2" authorId="0">
      <text>
        <r>
          <rPr>
            <sz val="8"/>
            <rFont val="Tahoma"/>
            <family val="0"/>
          </rPr>
          <t>Select to show improvement or decline vs. year ago period.</t>
        </r>
      </text>
    </comment>
    <comment ref="AA3" authorId="0">
      <text>
        <r>
          <rPr>
            <sz val="8"/>
            <rFont val="Tahoma"/>
            <family val="0"/>
          </rPr>
          <t>Select to show calculated $ opportunity from 1 additional point of buyer conversion.</t>
        </r>
      </text>
    </comment>
    <comment ref="AA4" authorId="0">
      <text>
        <r>
          <rPr>
            <sz val="8"/>
            <rFont val="Tahoma"/>
            <family val="0"/>
          </rPr>
          <t>Select to combine all but the top three displayed channels into one "All Other" group.</t>
        </r>
      </text>
    </comment>
    <comment ref="C8" authorId="0">
      <text>
        <r>
          <rPr>
            <sz val="8"/>
            <rFont val="Tahoma"/>
            <family val="0"/>
          </rPr>
          <t>List of parameters used in this leakage analysis.</t>
        </r>
      </text>
    </comment>
    <comment ref="V8" authorId="0">
      <text>
        <r>
          <rPr>
            <sz val="8"/>
            <rFont val="Tahoma"/>
            <family val="0"/>
          </rPr>
          <t>How many households (in the selected segment or demographic) are in the market?</t>
        </r>
      </text>
    </comment>
    <comment ref="P11" authorId="0">
      <text>
        <r>
          <rPr>
            <sz val="8"/>
            <rFont val="Tahoma"/>
            <family val="0"/>
          </rPr>
          <t>Of all of the households in the market, how many are shopping at this retailer?</t>
        </r>
      </text>
    </comment>
    <comment ref="AB11" authorId="0">
      <text>
        <r>
          <rPr>
            <sz val="8"/>
            <rFont val="Tahoma"/>
            <family val="0"/>
          </rPr>
          <t>Of all of the households in the market, how many do not shop at this retailer?</t>
        </r>
      </text>
    </comment>
    <comment ref="J15" authorId="0">
      <text>
        <r>
          <rPr>
            <sz val="8"/>
            <rFont val="Tahoma"/>
            <family val="0"/>
          </rPr>
          <t>Of the households shopping at this retailer, how many are buying this product ANYWHERE?</t>
        </r>
      </text>
    </comment>
    <comment ref="V15" authorId="0">
      <text>
        <r>
          <rPr>
            <sz val="8"/>
            <rFont val="Tahoma"/>
            <family val="0"/>
          </rPr>
          <t>Of the households shopping at this retailer, how many are NOT buying this product at all?</t>
        </r>
      </text>
    </comment>
    <comment ref="J19" authorId="0">
      <text>
        <r>
          <rPr>
            <sz val="8"/>
            <rFont val="Tahoma"/>
            <family val="0"/>
          </rPr>
          <t>Of the households shopping at this retailer who buy the product somewhere, how many buy the product AT THIS RETAILER?</t>
        </r>
      </text>
    </comment>
    <comment ref="R19" authorId="0">
      <text>
        <r>
          <rPr>
            <sz val="8"/>
            <rFont val="Tahoma"/>
            <family val="0"/>
          </rPr>
          <t>Of the households shopping at this retailer who buy the product somewhere, how many buy the product exclusively elsewhere?</t>
        </r>
      </text>
    </comment>
    <comment ref="E28" authorId="0">
      <text>
        <r>
          <rPr>
            <sz val="8"/>
            <rFont val="Tahoma"/>
            <family val="0"/>
          </rPr>
          <t>What % of converted buyer product dollars are captured by this retailer?</t>
        </r>
      </text>
    </comment>
    <comment ref="L28" authorId="0">
      <text>
        <r>
          <rPr>
            <sz val="8"/>
            <rFont val="Tahoma"/>
            <family val="0"/>
          </rPr>
          <t>What % of converted buyer product dollars are leaked elsewhere?</t>
        </r>
      </text>
    </comment>
    <comment ref="V28" authorId="0">
      <text>
        <r>
          <rPr>
            <sz val="8"/>
            <rFont val="Tahoma"/>
            <family val="0"/>
          </rPr>
          <t>How much do the retailer's unconverted buyers spend on the product outside of the retailer's stores?</t>
        </r>
      </text>
    </comment>
    <comment ref="C33" authorId="0">
      <text>
        <r>
          <rPr>
            <sz val="8"/>
            <rFont val="Tahoma"/>
            <family val="0"/>
          </rPr>
          <t>Among converted buyers, what % of product spend is being leaked by channel?  Up to four channels will be shown in descending order of leakage %. The retailer's own dollars captured is backed out of its parent channel. The sum of the four displayed channels should approach the total "Leaked Elsewhere" % shown in the red box above. This plus the retailer's own dollars captured will total approximately 100%.</t>
        </r>
      </text>
    </comment>
    <comment ref="AF33" authorId="0">
      <text>
        <r>
          <rPr>
            <sz val="8"/>
            <rFont val="Tahoma"/>
            <family val="0"/>
          </rPr>
          <t>Among unconverted buyers, what % of product spend is being leaked by channel?  Up to four channels will be shown in descending order of leakage %. The sum of the four displayed channels should approach 100%.</t>
        </r>
      </text>
    </comment>
    <comment ref="C36" authorId="0">
      <text>
        <r>
          <rPr>
            <sz val="8"/>
            <rFont val="Tahoma"/>
            <family val="0"/>
          </rPr>
          <t>Among converted buyers, what % of product spend is being leaked by individual retailer within each channel?  Up to seven retailers within each channel will be shown in descending order of leakage %. The sum of the displayed retailers should approach the total channel leakage percentage, but in some cases (e.g., Total U.S. GroceryX) the sum of individual retailers will be far short of the channel total if the list of retailers included in the competitive set is not comprehensive.</t>
        </r>
      </text>
    </comment>
    <comment ref="S36" authorId="0">
      <text>
        <r>
          <rPr>
            <sz val="8"/>
            <rFont val="Tahoma"/>
            <family val="0"/>
          </rPr>
          <t>Among unconverted buyers, what % of product spend is being leaked by individual retailer within each channel?  Up to seven retailers within each channel will be shown in descending order of leakage %. The sum of the displayed retailers should approach the total channel leakage percentage, but in some cases (e.g., Total U.S. GroceryX) the sum of individual retailers will be far short of the channel total if the list of retailers included in the competitive set is not comprehensive.</t>
        </r>
      </text>
    </comment>
    <comment ref="EE110" authorId="0">
      <text>
        <r>
          <rPr>
            <b/>
            <sz val="9"/>
            <rFont val="Tahoma"/>
            <family val="0"/>
          </rPr>
          <t xml:space="preserve">Corner Case:
</t>
        </r>
        <r>
          <rPr>
            <sz val="9"/>
            <rFont val="Tahoma"/>
            <family val="0"/>
          </rPr>
          <t>If Food channel sales are not null for YA, but WM NeighMkts is null for YA, channel will still report full value even though WM NeighMkts should be backed out. Similarly, if MASS/SUPCEN channel sales are not null for YA, but Walmart Mass/SC is null for YA, channel will still report full value even though Walmart Mass/SC should be backed out.</t>
        </r>
      </text>
    </comment>
    <comment ref="EF110" authorId="0">
      <text>
        <r>
          <rPr>
            <b/>
            <sz val="9"/>
            <rFont val="Tahoma"/>
            <family val="0"/>
          </rPr>
          <t xml:space="preserve">Corner Case:
</t>
        </r>
        <r>
          <rPr>
            <sz val="9"/>
            <rFont val="Tahoma"/>
            <family val="0"/>
          </rPr>
          <t>If Food channel sales are not null for YA, but WM NeighMkts is null for YA, channel will still report full value even though WM NeighMkts should be backed out. Similarly, if MASS/SUPCEN channel sales are not null for YA, but Walmart Mass/SC is null for YA, channel will still report full value even though Walmart Mass/SC should be backed out.</t>
        </r>
      </text>
    </comment>
    <comment ref="CW111" authorId="0">
      <text>
        <r>
          <rPr>
            <sz val="9"/>
            <rFont val="Tahoma"/>
            <family val="0"/>
          </rPr>
          <t>IFERROR check designed because geography name COULD have 2+ instances of " - "</t>
        </r>
      </text>
    </comment>
  </commentList>
</comments>
</file>

<file path=xl/sharedStrings.xml><?xml version="1.0" encoding="utf-8"?>
<sst xmlns="http://schemas.openxmlformats.org/spreadsheetml/2006/main" count="12318" uniqueCount="514">
  <si>
    <t>Leakage Tree Analysis</t>
  </si>
  <si>
    <t>CONVERTED BUYERS</t>
  </si>
  <si>
    <t>UNCONVERTED BUYERS</t>
  </si>
  <si>
    <t>Outlet</t>
  </si>
  <si>
    <t>Retailer</t>
  </si>
  <si>
    <t>Set_CB_OutletRank</t>
  </si>
  <si>
    <t>Set_UCB_OutletRank</t>
  </si>
  <si>
    <t>CB_OutletRank</t>
  </si>
  <si>
    <t>UCB_OutletRank</t>
  </si>
  <si>
    <t>Outlet 1</t>
  </si>
  <si>
    <t>Outlet 2</t>
  </si>
  <si>
    <t>Outlet 3</t>
  </si>
  <si>
    <t>Outlet 4</t>
  </si>
  <si>
    <t>Converted Buyers 1</t>
  </si>
  <si>
    <t>Retailer Rank 1</t>
  </si>
  <si>
    <t>Converted Buyers 2</t>
  </si>
  <si>
    <t>Retailer Rank 2</t>
  </si>
  <si>
    <t>Converted Buyers 3</t>
  </si>
  <si>
    <t>Retailer Rank 3</t>
  </si>
  <si>
    <t>Converted Buyers 4</t>
  </si>
  <si>
    <t>Retailer Rank 4</t>
  </si>
  <si>
    <t>Unconverted Buyers 1</t>
  </si>
  <si>
    <t>Unconverted Buyers 2</t>
  </si>
  <si>
    <t>Unconverted Buyers 3</t>
  </si>
  <si>
    <t>Unconverted Buyers 4</t>
  </si>
  <si>
    <t xml:space="preserve"> Include Actual HHs and Dollar Values?</t>
  </si>
  <si>
    <t>Add "x" to box</t>
  </si>
  <si>
    <t>DISPLAY OPTIONS:</t>
  </si>
  <si>
    <t xml:space="preserve"> Include Change vs YA?</t>
  </si>
  <si>
    <t>WM_Flag</t>
  </si>
  <si>
    <t>Product Dollars (G2 Unconverted Buyers)</t>
  </si>
  <si>
    <t>Leakage Dollars Captured - Converted Buyers</t>
  </si>
  <si>
    <t>Current</t>
  </si>
  <si>
    <t>Change vs YA</t>
  </si>
  <si>
    <t>Channel</t>
  </si>
  <si>
    <t>CB</t>
  </si>
  <si>
    <t>UCB</t>
  </si>
  <si>
    <t>Calculations for Leakage Tree</t>
  </si>
  <si>
    <t xml:space="preserve"> </t>
  </si>
  <si>
    <t>Scroll Down for Leakage Tree Raw Data and Calculations</t>
  </si>
  <si>
    <t>Scroll Across for Leakage Tree Raw Data and Calculations</t>
  </si>
  <si>
    <t>Geography</t>
  </si>
  <si>
    <t>Outlet Parent</t>
  </si>
  <si>
    <t>Outlet Checklist</t>
  </si>
  <si>
    <t>Formula Logic:</t>
  </si>
  <si>
    <t>Non-Standard Geography</t>
  </si>
  <si>
    <r>
      <t xml:space="preserve">BUYER CONVERSION
</t>
    </r>
    <r>
      <rPr>
        <i/>
        <sz val="14"/>
        <rFont val="Arial"/>
        <family val="0"/>
      </rPr>
      <t>Households</t>
    </r>
  </si>
  <si>
    <r>
      <t xml:space="preserve">LEAKAGE
</t>
    </r>
    <r>
      <rPr>
        <i/>
        <sz val="14"/>
        <rFont val="Arial"/>
        <family val="0"/>
      </rPr>
      <t>Dollars</t>
    </r>
  </si>
  <si>
    <t>Is Mixed Channel Geog?</t>
  </si>
  <si>
    <t>Is RMA?</t>
  </si>
  <si>
    <t>IF1(this row is a real channel,THEN IF2,ELSE NULL)
IF2(CX101 refers to WM NeighMkt and CW107 SOP has first 10 digits "ALL OUTLET" to verify that), THEN channel LeakageDollars-ConvertedBuyers minus vlookup'd WM M/SC/NM retailer backout if the channel in the current row contains WM NeighMkt-related dollars, ELSE naturally occurring channel LeakageDollars-ConvertedBuyers[with forced RMA backout if necessary])</t>
  </si>
  <si>
    <t>These six columns (EC:EH) are a necessary workaround for leakage trees that use the Walmart Mixed Channel Retailer or an RMA as the target geography (that selected in the Geography 2 dimension)</t>
  </si>
  <si>
    <t>Highlight the outlined area above (or select range name "LeakageTreePicture") and paste (as a Bitmap or Device Independent Bitmap) into PowerPoint.</t>
  </si>
  <si>
    <t>x</t>
  </si>
  <si>
    <t>All Outlets</t>
  </si>
  <si>
    <t>Club</t>
  </si>
  <si>
    <t>Convenience-Gas</t>
  </si>
  <si>
    <t>Dollar</t>
  </si>
  <si>
    <t>Drug</t>
  </si>
  <si>
    <t>GroceryX</t>
  </si>
  <si>
    <t>Hardware-Home</t>
  </si>
  <si>
    <t>MassX and SupercenterX</t>
  </si>
  <si>
    <t>MassX</t>
  </si>
  <si>
    <t>SupercenterX</t>
  </si>
  <si>
    <t>Pet</t>
  </si>
  <si>
    <t>Specialty Stores</t>
  </si>
  <si>
    <t>Toy</t>
  </si>
  <si>
    <t>Walmart Corporate</t>
  </si>
  <si>
    <t>BJ's Corp-RMA</t>
  </si>
  <si>
    <t>BJ's Mid Atlantic-RMA</t>
  </si>
  <si>
    <t>BJ's Northeast-RMA</t>
  </si>
  <si>
    <t>BJ's Southeast-RMA</t>
  </si>
  <si>
    <t>Dollar General-Great Lakes-RMA</t>
  </si>
  <si>
    <t>Dollar General-Mid South-RMA</t>
  </si>
  <si>
    <t>Dollar General-Northeast-RMA</t>
  </si>
  <si>
    <t>Dollar General-Plains-RMA</t>
  </si>
  <si>
    <t>Dollar General-South Central-RMA</t>
  </si>
  <si>
    <t>Dollar General-Southeast-RMA</t>
  </si>
  <si>
    <t>Dollar General-Total U.S.-RMA</t>
  </si>
  <si>
    <t>Dollar General-West-RMA</t>
  </si>
  <si>
    <t>Family Dollar-Great Lakes-RMA</t>
  </si>
  <si>
    <t>Family Dollar-Mid South-RMA</t>
  </si>
  <si>
    <t>Family Dollar-Northeast-RMA</t>
  </si>
  <si>
    <t>Family Dollar-Plains-RMA</t>
  </si>
  <si>
    <t>Family Dollar-South Central-RMA</t>
  </si>
  <si>
    <t>Family Dollar-Southeast-RMA</t>
  </si>
  <si>
    <t>Family Dollar-Total U.S.-RMA</t>
  </si>
  <si>
    <t>Family Dollar-West-RMA</t>
  </si>
  <si>
    <t>Freds Dollar-RMA</t>
  </si>
  <si>
    <t>CVS Corp Total-RMA</t>
  </si>
  <si>
    <t>CVS Deep South-RMA</t>
  </si>
  <si>
    <t>CVS Michigan-RMA</t>
  </si>
  <si>
    <t>CVS Midsouth-RMA</t>
  </si>
  <si>
    <t>CVS Midwest-RMA</t>
  </si>
  <si>
    <t>CVS Northeast-RMA</t>
  </si>
  <si>
    <t>CVS Southwest-RMA</t>
  </si>
  <si>
    <t>CVS West-RMA</t>
  </si>
  <si>
    <t>CVS+Longs Corp Total-RMA</t>
  </si>
  <si>
    <t>CVS+Longs NOCAL-RMA</t>
  </si>
  <si>
    <t>CVS+Longs SOCAL-RMA</t>
  </si>
  <si>
    <t>CVS+Longs Southwest-RMA</t>
  </si>
  <si>
    <t>CVS+Longs West Region-RMA</t>
  </si>
  <si>
    <t>Longs Corp Total-RMA</t>
  </si>
  <si>
    <t>Longs Northern California-RMA</t>
  </si>
  <si>
    <t>Longs Southern California-RMA</t>
  </si>
  <si>
    <t>Longs Southwest-RMA</t>
  </si>
  <si>
    <t>Rite Aid Northeast Division-RMA</t>
  </si>
  <si>
    <t>Rite Aid NY Metro Division-RMA</t>
  </si>
  <si>
    <t>Rite Aid South Division-RMA</t>
  </si>
  <si>
    <t>Rite Aid Total Corp-RMA</t>
  </si>
  <si>
    <t>Rite Aid West Division-RMA</t>
  </si>
  <si>
    <t>Walgreens-California-RMA</t>
  </si>
  <si>
    <t>Walgreens-Corp w/ Duane Reade-RMA</t>
  </si>
  <si>
    <t>Walgreens-Corp w/out Puerto Rico-RMA</t>
  </si>
  <si>
    <t>Walgreens-Corp-RMA</t>
  </si>
  <si>
    <t>Walgreens-Duane Reade-RMA</t>
  </si>
  <si>
    <t>Walgreens-Great Lakes-RMA</t>
  </si>
  <si>
    <t>Walgreens-Mid South-RMA</t>
  </si>
  <si>
    <t>Walgreens-Northeast-RMA</t>
  </si>
  <si>
    <t>Walgreens-Plains-RMA</t>
  </si>
  <si>
    <t>Walgreens-South Central-RMA</t>
  </si>
  <si>
    <t>Walgreens-Southeast-RMA</t>
  </si>
  <si>
    <t>Walgreens-West-RMA</t>
  </si>
  <si>
    <t>A&amp;P Banner-RMA</t>
  </si>
  <si>
    <t>A&amp;P Corp w/ Pathmark-RMA</t>
  </si>
  <si>
    <t>A&amp;P Corp-RMA</t>
  </si>
  <si>
    <t>A&amp;P NY Metro-RMA</t>
  </si>
  <si>
    <t>A&amp;P Pathmark Corp-RMA</t>
  </si>
  <si>
    <t>A&amp;P Pathmark New York-RMA</t>
  </si>
  <si>
    <t>A&amp;P Pathmark Philadelphia-RMA</t>
  </si>
  <si>
    <t>A&amp;P Waldbaums-RMA</t>
  </si>
  <si>
    <t>Ahold Corp-RMA</t>
  </si>
  <si>
    <t>Ahold Giant Maryland Region 5-RMA</t>
  </si>
  <si>
    <t>Ahold Giant Maryland Region 6-RMA</t>
  </si>
  <si>
    <t>Ahold Giant Maryland Region 7-RMA</t>
  </si>
  <si>
    <t>Ahold Giant Maryland Total-RMA</t>
  </si>
  <si>
    <t>Ahold Giant Pennsylvania East-RMA</t>
  </si>
  <si>
    <t>Ahold Giant Pennsylvania Total-RMA</t>
  </si>
  <si>
    <t>Ahold Giant Pennsylvania West-RMA</t>
  </si>
  <si>
    <t>Ahold Stop &amp; Shop / Giant Maryland Total-RMA</t>
  </si>
  <si>
    <t>Ahold Stop &amp; Shop New England Region 1-RMA</t>
  </si>
  <si>
    <t>Ahold Stop &amp; Shop New England Region 2-RMA</t>
  </si>
  <si>
    <t>Ahold Stop &amp; Shop New England Region 9-RMA</t>
  </si>
  <si>
    <t>Ahold Stop &amp; Shop New England-RMA</t>
  </si>
  <si>
    <t>Ahold Stop &amp; Shop New York Region 3-RMA</t>
  </si>
  <si>
    <t>Ahold Stop &amp; Shop New York Region 4-RMA</t>
  </si>
  <si>
    <t>Ahold Stop &amp; Shop New York Region 8-RMA</t>
  </si>
  <si>
    <t>Ahold Stop &amp; Shop New York-RMA</t>
  </si>
  <si>
    <t>Ahold Stop &amp; Shop Total-RMA</t>
  </si>
  <si>
    <t>Albertsons LLC Arizona-RMA</t>
  </si>
  <si>
    <t>Albertsons LLC Corp-RMA</t>
  </si>
  <si>
    <t>Albertsons LLC Dallas-RMA</t>
  </si>
  <si>
    <t>Albertsons LLC Florida-RMA</t>
  </si>
  <si>
    <t>Albertsons LLC Rocky Mountain-RMA</t>
  </si>
  <si>
    <t>Albertsons LLC South Division-RMA</t>
  </si>
  <si>
    <t>Albertsons LLC Southwest Division-RMA</t>
  </si>
  <si>
    <t>Albertsons LLC Southwest-RMA</t>
  </si>
  <si>
    <t>Albertsons LLC Texas-RMA</t>
  </si>
  <si>
    <t>Bashas' Corp w/ AJ's-RMA</t>
  </si>
  <si>
    <t>Bashas' Corp-RMA</t>
  </si>
  <si>
    <t>Bashas'-RMA</t>
  </si>
  <si>
    <t>Big Y-RMA</t>
  </si>
  <si>
    <t>Bi-Lo Central-RMA</t>
  </si>
  <si>
    <t>Bi-Lo Corp-RMA</t>
  </si>
  <si>
    <t>Bi-Lo Eastern-RMA</t>
  </si>
  <si>
    <t>Bi-Lo Foothills-RMA</t>
  </si>
  <si>
    <t>Brookshire Grocery Corp-RMA</t>
  </si>
  <si>
    <t>Brookshire's Food Stores-RMA</t>
  </si>
  <si>
    <t>C&amp;S Corp-RMA</t>
  </si>
  <si>
    <t>Delhaize Bottom Dollar Corp-RMA</t>
  </si>
  <si>
    <t>Delhaize Corp-RMA</t>
  </si>
  <si>
    <t>Delhaize Food Lion Atlantic-RMA</t>
  </si>
  <si>
    <t>Delhaize Food Lion Corp-RMA</t>
  </si>
  <si>
    <t>Delhaize Food Lion Northeast-RMA</t>
  </si>
  <si>
    <t>Delhaize Food Lion Southeast-RMA</t>
  </si>
  <si>
    <t>Delhaize Food Lion Southwest-RMA</t>
  </si>
  <si>
    <t>Delhaize Food Lion Total-RMA</t>
  </si>
  <si>
    <t>Delhaize Hannaford Corp-RMA</t>
  </si>
  <si>
    <t>Delhaize Hannaford Maine/New Hampshire-RMA</t>
  </si>
  <si>
    <t>Delhaize Hannaford Massachusetts-RMA</t>
  </si>
  <si>
    <t>Delhaize Hannaford New York/Vermont-RMA</t>
  </si>
  <si>
    <t>Delhaize Sweetbay-RMA</t>
  </si>
  <si>
    <t>Demoulas-RMA</t>
  </si>
  <si>
    <t>Dierbergs Markets-RMA</t>
  </si>
  <si>
    <t>Four B Ball's Price Chopper-RMA</t>
  </si>
  <si>
    <t>Four B Corp-RMA</t>
  </si>
  <si>
    <t>Giant Eagle All Other-RMA</t>
  </si>
  <si>
    <t>Giant Eagle Cleveland-RMA</t>
  </si>
  <si>
    <t>Giant Eagle Corp w/out All Other-RMA</t>
  </si>
  <si>
    <t>Giant Eagle Corp-RMA</t>
  </si>
  <si>
    <t>Giant Eagle Pittsburgh-RMA</t>
  </si>
  <si>
    <t>HAC, Inc-RMA</t>
  </si>
  <si>
    <t>Harris Teeter Corp-RMA</t>
  </si>
  <si>
    <t>Homeland-RMA</t>
  </si>
  <si>
    <t>Hy-Vee Corp-RMA</t>
  </si>
  <si>
    <t>Ingles Classic-RMA</t>
  </si>
  <si>
    <t>Ingles Corp-RMA</t>
  </si>
  <si>
    <t>Kroger Atlanta-RMA</t>
  </si>
  <si>
    <t>Kroger Banner Total-RMA</t>
  </si>
  <si>
    <t>Kroger Central-RMA</t>
  </si>
  <si>
    <t>Kroger Cincinnati-RMA</t>
  </si>
  <si>
    <t>Kroger Columbus-RMA</t>
  </si>
  <si>
    <t>Kroger Coordinated-RMA</t>
  </si>
  <si>
    <t>Kroger Corp-RMA</t>
  </si>
  <si>
    <t>Kroger Dallas-RMA</t>
  </si>
  <si>
    <t>Kroger Delta-RMA</t>
  </si>
  <si>
    <t>Kroger Dillon Corp-RMA</t>
  </si>
  <si>
    <t>Kroger Dillon-RMA</t>
  </si>
  <si>
    <t>Kroger Food 4 Less Corp-RMA</t>
  </si>
  <si>
    <t>Kroger Food 4 Less Midwest-RMA</t>
  </si>
  <si>
    <t>Kroger Food 4 Less South-RMA</t>
  </si>
  <si>
    <t>Kroger Fred Meyer All Other/Oregon-RMA</t>
  </si>
  <si>
    <t>Kroger Fred Meyer Corp w/out Alaska-RMA</t>
  </si>
  <si>
    <t>Kroger Fred Meyer Corp-RMA</t>
  </si>
  <si>
    <t>Kroger Fred Meyer Portland/Vancouver-RMA</t>
  </si>
  <si>
    <t>Kroger Fred Meyer Puget Sound-RMA</t>
  </si>
  <si>
    <t>Kroger Fred Meyer Washington/Idaho-RMA</t>
  </si>
  <si>
    <t>Kroger Fry's-RMA</t>
  </si>
  <si>
    <t>Kroger Great Lakes-RMA</t>
  </si>
  <si>
    <t>Kroger Houston-RMA</t>
  </si>
  <si>
    <t>Kroger King Soopers/City Market-RMA</t>
  </si>
  <si>
    <t>Kroger King Soopers-RMA</t>
  </si>
  <si>
    <t>Kroger Michigan-RMA</t>
  </si>
  <si>
    <t>Kroger Mid-Atlantic-RMA</t>
  </si>
  <si>
    <t>Kroger Mid-South-RMA</t>
  </si>
  <si>
    <t>Kroger Peyton-RMA</t>
  </si>
  <si>
    <t>Kroger QFC Corp-RMA</t>
  </si>
  <si>
    <t>Kroger QFC Seattle-RMA</t>
  </si>
  <si>
    <t>Kroger Ralphs/Food 4 Less Corp-RMA</t>
  </si>
  <si>
    <t>Kroger Ralphs-RMA</t>
  </si>
  <si>
    <t>Kroger Smiths Corp-RMA</t>
  </si>
  <si>
    <t>Kroger Smiths Inter Mountain-RMA</t>
  </si>
  <si>
    <t>Kroger Smiths Las Vegas-RMA</t>
  </si>
  <si>
    <t>Kroger Southwest-RMA</t>
  </si>
  <si>
    <t>Lowes Corp-RMA</t>
  </si>
  <si>
    <t>Marsh Corp-RMA</t>
  </si>
  <si>
    <t>Marsh Marketplace-RMA</t>
  </si>
  <si>
    <t>Price Chopper Corp-RMA</t>
  </si>
  <si>
    <t>Price Chopper NY excluding Southern Tier-RMA</t>
  </si>
  <si>
    <t>Publix Atlanta-RMA</t>
  </si>
  <si>
    <t>Publix Corp-RMA</t>
  </si>
  <si>
    <t>Publix Jacksonville-RMA</t>
  </si>
  <si>
    <t>Publix Lakeland-RMA</t>
  </si>
  <si>
    <t>Publix Miami-RMA</t>
  </si>
  <si>
    <t>Raley's + Bel Air Sacramento-RMA</t>
  </si>
  <si>
    <t>Raley's + Bel Air Total-RMA</t>
  </si>
  <si>
    <t>Raley's Total Corp-RMA</t>
  </si>
  <si>
    <t>Roundy's Corp-RMA</t>
  </si>
  <si>
    <t>Roundy's Rainbow-RMA</t>
  </si>
  <si>
    <t>Roundy's Wisconsin Milwaukee-RMA</t>
  </si>
  <si>
    <t>Roundy's Wisconsin-RMA</t>
  </si>
  <si>
    <t>Safeway Corp w/out AK/HI-RMA</t>
  </si>
  <si>
    <t>Safeway Corp-RMA</t>
  </si>
  <si>
    <t>Safeway Denver Division-RMA</t>
  </si>
  <si>
    <t>Safeway Dominicks Division-RMA</t>
  </si>
  <si>
    <t>Safeway Eastern Division-RMA</t>
  </si>
  <si>
    <t>Safeway Northern CA Division-RMA</t>
  </si>
  <si>
    <t>Safeway Northern CA w/out HI Division-RMA</t>
  </si>
  <si>
    <t>Safeway Phoenix Division-RMA</t>
  </si>
  <si>
    <t>Safeway Portland Division-RMA</t>
  </si>
  <si>
    <t>Safeway Randalls Houston-RMA</t>
  </si>
  <si>
    <t>Safeway Randalls/Tom Thumb Division-RMA</t>
  </si>
  <si>
    <t>Safeway Seattle Division-RMA</t>
  </si>
  <si>
    <t>Safeway Seattle w/out AK Division-RMA</t>
  </si>
  <si>
    <t>Safeway Tom Thumb-RMA</t>
  </si>
  <si>
    <t>Safeway Vons Division-RMA</t>
  </si>
  <si>
    <t>Save Mart Corp w/out Food Maxx-RMA</t>
  </si>
  <si>
    <t>Save Mart Corp-RMA</t>
  </si>
  <si>
    <t>Save Mart Food Maxx North-RMA</t>
  </si>
  <si>
    <t>Save Mart Food Maxx Total-RMA</t>
  </si>
  <si>
    <t>Save Mart Lucky Total-RMA</t>
  </si>
  <si>
    <t>Save Mart North-RMA</t>
  </si>
  <si>
    <t>Save Mart South-RMA</t>
  </si>
  <si>
    <t>Save Mart Total-RMA</t>
  </si>
  <si>
    <t>Schnucks Corp Total-RMA</t>
  </si>
  <si>
    <t>Schnucks St Louis-RMA</t>
  </si>
  <si>
    <t>Spartan Corp-RMA</t>
  </si>
  <si>
    <t>Spartan Family Fare-RMA</t>
  </si>
  <si>
    <t>Spartan West-RMA</t>
  </si>
  <si>
    <t>Stater Bros Corp-RMA</t>
  </si>
  <si>
    <t>Stater Bros Inland Empire-RMA</t>
  </si>
  <si>
    <t>Stater Bros Orange County/San Diego-RMA</t>
  </si>
  <si>
    <t>Strack &amp; Van Til Total Corp-RMA</t>
  </si>
  <si>
    <t>Strack &amp; Van Til Total Illinois-RMA</t>
  </si>
  <si>
    <t>SUPERVALU Alb Acme Division-RMA</t>
  </si>
  <si>
    <t>SUPERVALU Alb Acme Philadelphia-RMA</t>
  </si>
  <si>
    <t>SUPERVALU Alb Intermountain Division-RMA</t>
  </si>
  <si>
    <t>SUPERVALU Alb Intermountain West Division-RMA</t>
  </si>
  <si>
    <t>SUPERVALU Alb Jewel Chicago-RMA</t>
  </si>
  <si>
    <t>SUPERVALU Alb Jewel Division-RMA</t>
  </si>
  <si>
    <t>SUPERVALU Alb Northwest Division-RMA</t>
  </si>
  <si>
    <t>SUPERVALU Alb Northwest Oregon-RMA</t>
  </si>
  <si>
    <t>SUPERVALU Alb Northwest West Washington-RMA</t>
  </si>
  <si>
    <t>SUPERVALU Alb Shaws Division-RMA</t>
  </si>
  <si>
    <t>SUPERVALU Alb Shaws Massachusetts/Rhode Island-RMA</t>
  </si>
  <si>
    <t>SUPERVALU Alb Shaws New England-RMA</t>
  </si>
  <si>
    <t>SUPERVALU Alb Southern California Division-RMA</t>
  </si>
  <si>
    <t>SUPERVALU Alb Southern California Los Angeles-RMA</t>
  </si>
  <si>
    <t>SUPERVALU Alb Southern California San Diego-RMA</t>
  </si>
  <si>
    <t>SUPERVALU Cub Minneapolis/St Paul-RMA</t>
  </si>
  <si>
    <t>SUPERVALU Cub Total-RMA</t>
  </si>
  <si>
    <t>SUPERVALU Farm Fresh-RMA</t>
  </si>
  <si>
    <t>SUPERVALU Shop N Save-RMA</t>
  </si>
  <si>
    <t>SUPERVALU Shoppers Food-RMA</t>
  </si>
  <si>
    <t>SUPERVALU Total Centralized Corp-RMA</t>
  </si>
  <si>
    <t>SUPERVALU Total Corp-RMA</t>
  </si>
  <si>
    <t>SUPERVALU Total Decentralized Corp-RMA</t>
  </si>
  <si>
    <t>Tops Central-RMA</t>
  </si>
  <si>
    <t>Tops Total-RMA</t>
  </si>
  <si>
    <t>Tops Western-RMA</t>
  </si>
  <si>
    <t>Wakefern Combo 3,4,5-RMA</t>
  </si>
  <si>
    <t>Wakefern Corp-RMA</t>
  </si>
  <si>
    <t>Wakefern Zone 1-RMA</t>
  </si>
  <si>
    <t>Wakefern Zone 2-RMA</t>
  </si>
  <si>
    <t>Wakefern Zone 3-RMA</t>
  </si>
  <si>
    <t>Wegmans Buffalo/Rochester-RMA</t>
  </si>
  <si>
    <t>Wegmans Buffalo-RMA</t>
  </si>
  <si>
    <t>Wegmans Corp w/out NJ/PA/VA/Other-RMA</t>
  </si>
  <si>
    <t>Wegmans Corp-RMA</t>
  </si>
  <si>
    <t>Wegmans NJ/PA/VA-RMA</t>
  </si>
  <si>
    <t>Wegmans Rochester-RMA</t>
  </si>
  <si>
    <t>Weis Corp-RMA</t>
  </si>
  <si>
    <t>Winn Dixie Central-RMA</t>
  </si>
  <si>
    <t>Winn Dixie Corp-RMA</t>
  </si>
  <si>
    <t>Winn Dixie South-RMA</t>
  </si>
  <si>
    <t>Winn Dixie West-RMA</t>
  </si>
  <si>
    <t>Kmart Corp California-RMA</t>
  </si>
  <si>
    <t>Kmart Corp Great Lakes-RMA</t>
  </si>
  <si>
    <t>Kmart Corp Mid-South-RMA</t>
  </si>
  <si>
    <t>Kmart Corp Northeast-RMA</t>
  </si>
  <si>
    <t>Kmart Corp Plains-RMA</t>
  </si>
  <si>
    <t>Kmart Corp South Central-RMA</t>
  </si>
  <si>
    <t>Kmart Corp Southeast-RMA</t>
  </si>
  <si>
    <t>Kmart Corp West-RMA</t>
  </si>
  <si>
    <t>Kmart Supers Corp-RMA</t>
  </si>
  <si>
    <t>Kmart Supers Great Lakes-RMA</t>
  </si>
  <si>
    <t>Kmart Total Corp-RMA</t>
  </si>
  <si>
    <t>Kmart/Big K California-RMA</t>
  </si>
  <si>
    <t>Kmart/Big K Corp-RMA</t>
  </si>
  <si>
    <t>Kmart/Big K Great Lakes-RMA</t>
  </si>
  <si>
    <t>Kmart/Big K Mid-South-RMA</t>
  </si>
  <si>
    <t>Kmart/Big K Northeast-RMA</t>
  </si>
  <si>
    <t>Kmart/Big K Plains-RMA</t>
  </si>
  <si>
    <t>Kmart/Big K South Central-RMA</t>
  </si>
  <si>
    <t>Kmart/Big K Southeast-RMA</t>
  </si>
  <si>
    <t>Kmart/Big K West-RMA</t>
  </si>
  <si>
    <t>Shopko Corp Total-RMA</t>
  </si>
  <si>
    <t>Target Atlanta-RMA</t>
  </si>
  <si>
    <t>Target Baltimore-RMA</t>
  </si>
  <si>
    <t>Target Birmingham-RMA</t>
  </si>
  <si>
    <t>Target Boston-RMA</t>
  </si>
  <si>
    <t>Target Buffalo-RMA</t>
  </si>
  <si>
    <t>Target Charlotte-RMA</t>
  </si>
  <si>
    <t>Target Chicago-RMA</t>
  </si>
  <si>
    <t>Target Cincinnati-RMA</t>
  </si>
  <si>
    <t>Target Cleveland-RMA</t>
  </si>
  <si>
    <t>Target Corp w/ Alaska &amp; Hawaii-RMA</t>
  </si>
  <si>
    <t>Target Dallas-RMA</t>
  </si>
  <si>
    <t>Target Denver-RMA</t>
  </si>
  <si>
    <t>Target Detroit-RMA</t>
  </si>
  <si>
    <t>Target Grand Rapids-RMA</t>
  </si>
  <si>
    <t>Target Hartford-RMA</t>
  </si>
  <si>
    <t>Target Houston-RMA</t>
  </si>
  <si>
    <t>Target Indianapolis-RMA</t>
  </si>
  <si>
    <t>Target Kansas City-RMA</t>
  </si>
  <si>
    <t>Target Los Angeles-RMA</t>
  </si>
  <si>
    <t>Target Miami-RMA</t>
  </si>
  <si>
    <t>Target Milwaukee-RMA</t>
  </si>
  <si>
    <t>Target Minneapolis-RMA</t>
  </si>
  <si>
    <t>Target New York-RMA</t>
  </si>
  <si>
    <t>Target Orlando-RMA</t>
  </si>
  <si>
    <t>Target Philadelphia-RMA</t>
  </si>
  <si>
    <t>Target Phoenix-RMA</t>
  </si>
  <si>
    <t>Target Pittsburgh-RMA</t>
  </si>
  <si>
    <t>Target Portland-RMA</t>
  </si>
  <si>
    <t>Target Raleigh-RMA</t>
  </si>
  <si>
    <t>Target Richmond-RMA</t>
  </si>
  <si>
    <t>Target Sacramento-RMA</t>
  </si>
  <si>
    <t>Target Salt Lake-RMA</t>
  </si>
  <si>
    <t>Target San Antonio-RMA</t>
  </si>
  <si>
    <t>Target San Diego-RMA</t>
  </si>
  <si>
    <t>Target San Francisco-RMA</t>
  </si>
  <si>
    <t>Target Seattle-RMA</t>
  </si>
  <si>
    <t>Target St. Louis-RMA</t>
  </si>
  <si>
    <t>Target Tampa Bay-RMA</t>
  </si>
  <si>
    <t>Target Total Corp-RMA</t>
  </si>
  <si>
    <t>Target Total General Merchandise w/out Super-RMA</t>
  </si>
  <si>
    <t>Target Total Super Target-RMA</t>
  </si>
  <si>
    <t>Target Washington DC-RMA</t>
  </si>
  <si>
    <t>DeCA Total CONUS-RMA</t>
  </si>
  <si>
    <t xml:space="preserve"> Include $ Opp from Buyer Conversion?</t>
  </si>
  <si>
    <t>To copy only the tree area, choose "Leakage Tree Picture" range then press CTRL+C.</t>
  </si>
  <si>
    <t>HH Demo Summary : All Income Per Capita</t>
  </si>
  <si>
    <t>Trip Mission : All Trip Missions</t>
  </si>
  <si>
    <t>Same Outlet Parent Geography</t>
  </si>
  <si>
    <t>Segment HHs</t>
  </si>
  <si>
    <t>Retailer Shoppers</t>
  </si>
  <si>
    <t>% HHs Shopping</t>
  </si>
  <si>
    <t>HH Not Shopping</t>
  </si>
  <si>
    <t>% HH Not Shopping</t>
  </si>
  <si>
    <t>Anywhere Product Buyers (G2 Shoppers)</t>
  </si>
  <si>
    <t>% All Outlet Buyer Conversion (G2 Shoppers)</t>
  </si>
  <si>
    <t>% All Outlet Buyers Unconverted (G2 Shoppers)</t>
  </si>
  <si>
    <t>Product Buyers (G2 Shoppers)</t>
  </si>
  <si>
    <t>Product Dollars  (G2 Converted Buyers)</t>
  </si>
  <si>
    <t>Leakage Dollars Captured (G2 Converted Buyers)</t>
  </si>
  <si>
    <t>% All Outlet Buyer Conversion Among Shoppers</t>
  </si>
  <si>
    <t>$ Opp 1 More Pt Buyer Conversion</t>
  </si>
  <si>
    <t/>
  </si>
  <si>
    <t>Retailer / Channel Display</t>
  </si>
  <si>
    <t>HIDE specific retailers (or entire channels) by selecting from these drop-downs:</t>
  </si>
  <si>
    <t>WMCA Geography Workaround</t>
  </si>
  <si>
    <t xml:space="preserve"> Combine Lower Ranked Channels?</t>
  </si>
  <si>
    <t>No Limit Leakage Export</t>
  </si>
  <si>
    <t xml:space="preserve">Geography 2 : Total US - Walgreens </t>
  </si>
  <si>
    <t>Time : Latest 52 Weeks Ending Aug-12-2012</t>
  </si>
  <si>
    <t>Product : INTERNAL ANALGESICS</t>
  </si>
  <si>
    <t>Parent Company : All Parent Companies</t>
  </si>
  <si>
    <t xml:space="preserve">Total US - Walgreens </t>
  </si>
  <si>
    <t>Total US - Drug</t>
  </si>
  <si>
    <t>Total US - All Outlets</t>
  </si>
  <si>
    <t>Total US - Club</t>
  </si>
  <si>
    <t xml:space="preserve">Total US - BJs Wholesale </t>
  </si>
  <si>
    <t xml:space="preserve">Total US - Costco </t>
  </si>
  <si>
    <t xml:space="preserve">Total US - Sams Club </t>
  </si>
  <si>
    <t>Total US - Convenience-Gas</t>
  </si>
  <si>
    <t>Total US - Dollar</t>
  </si>
  <si>
    <t xml:space="preserve">Total US - Dollar General </t>
  </si>
  <si>
    <t xml:space="preserve">Total US - Dollar Tree </t>
  </si>
  <si>
    <t xml:space="preserve">Total US - Family Dollar </t>
  </si>
  <si>
    <t>Total US - Freds</t>
  </si>
  <si>
    <t xml:space="preserve">Total US - CVS </t>
  </si>
  <si>
    <t xml:space="preserve">Total US - Eckerd Drug </t>
  </si>
  <si>
    <t xml:space="preserve">Total US - Osco Drugs </t>
  </si>
  <si>
    <t xml:space="preserve">Total US - Rite Aid </t>
  </si>
  <si>
    <t>Total US - GroceryX</t>
  </si>
  <si>
    <t xml:space="preserve">Total US - A&amp;P </t>
  </si>
  <si>
    <t>Total US - Albertsons LLC + SuperValu</t>
  </si>
  <si>
    <t xml:space="preserve">Total US - Aldi </t>
  </si>
  <si>
    <t xml:space="preserve">Total US - Kroger </t>
  </si>
  <si>
    <t xml:space="preserve">Total US - Meijer </t>
  </si>
  <si>
    <t xml:space="preserve">Total US - Safeway </t>
  </si>
  <si>
    <t xml:space="preserve">Total US - Save A Lot </t>
  </si>
  <si>
    <t xml:space="preserve">Total US - Shop N Save </t>
  </si>
  <si>
    <t xml:space="preserve">Total US - Trader Joes </t>
  </si>
  <si>
    <t xml:space="preserve">Total US - Whole Foods </t>
  </si>
  <si>
    <t>Total US - Hardware-Home</t>
  </si>
  <si>
    <t xml:space="preserve">Total US - Ace Hardware </t>
  </si>
  <si>
    <t xml:space="preserve">Total US - Home Depot </t>
  </si>
  <si>
    <t xml:space="preserve">Total US - Lowes Home Improvement </t>
  </si>
  <si>
    <t xml:space="preserve">Total US - True Value </t>
  </si>
  <si>
    <t>Total US - MassX and SupercenterX</t>
  </si>
  <si>
    <t xml:space="preserve">Total US - Kmart Corporate </t>
  </si>
  <si>
    <t xml:space="preserve">Total US - Target Corporate </t>
  </si>
  <si>
    <t>Total US - Pet</t>
  </si>
  <si>
    <t xml:space="preserve">Total US - Petco </t>
  </si>
  <si>
    <t xml:space="preserve">Total US - Petsmart </t>
  </si>
  <si>
    <t xml:space="preserve">Total US - Tractor Supply Company </t>
  </si>
  <si>
    <t>Total US - Specialty Stores</t>
  </si>
  <si>
    <t xml:space="preserve">Total US - Big Lots </t>
  </si>
  <si>
    <t xml:space="preserve">Total US - DeCA Commissary </t>
  </si>
  <si>
    <t>Total US - Toy</t>
  </si>
  <si>
    <t xml:space="preserve">Total US - Babies R US </t>
  </si>
  <si>
    <t xml:space="preserve">Total US - Toys R Us </t>
  </si>
  <si>
    <t>Total US - Walmart Corporate</t>
  </si>
  <si>
    <t xml:space="preserve">Total US - Walmart Division 1 </t>
  </si>
  <si>
    <t xml:space="preserve">Total US - Walmart Neighborhood Market </t>
  </si>
  <si>
    <t xml:space="preserve">Total US - Walmart Supercenter </t>
  </si>
  <si>
    <t>Military</t>
  </si>
  <si>
    <t>Internet</t>
  </si>
  <si>
    <t>Liquor</t>
  </si>
  <si>
    <t>Health/Vitamin</t>
  </si>
  <si>
    <t>Walmart Total</t>
  </si>
  <si>
    <t>$ Opportunity from 1 Additional Point of Buyer Conversion:</t>
  </si>
  <si>
    <t xml:space="preserve">CVS </t>
  </si>
  <si>
    <t xml:space="preserve">Kroger </t>
  </si>
  <si>
    <t xml:space="preserve">Walmart Supercenter </t>
  </si>
  <si>
    <t xml:space="preserve">Target Corporate </t>
  </si>
  <si>
    <t xml:space="preserve">Costco </t>
  </si>
  <si>
    <t xml:space="preserve">Rite Aid </t>
  </si>
  <si>
    <t xml:space="preserve">Meijer </t>
  </si>
  <si>
    <t xml:space="preserve">Walmart Division 1 </t>
  </si>
  <si>
    <t xml:space="preserve">Sams Club </t>
  </si>
  <si>
    <t>Albertsons LLC + SuperValu</t>
  </si>
  <si>
    <t xml:space="preserve">Walmart Neighborhood Market </t>
  </si>
  <si>
    <t xml:space="preserve">Safeway </t>
  </si>
  <si>
    <t xml:space="preserve">BJs Wholesale </t>
  </si>
  <si>
    <t xml:space="preserve">Dollar General </t>
  </si>
  <si>
    <t xml:space="preserve">Aldi </t>
  </si>
  <si>
    <t xml:space="preserve">Kmart Corporate </t>
  </si>
  <si>
    <t xml:space="preserve">Family Dollar </t>
  </si>
  <si>
    <t>N</t>
  </si>
  <si>
    <t>All Other Outlets</t>
  </si>
  <si>
    <t xml:space="preserve">Walgreens </t>
  </si>
  <si>
    <t xml:space="preserve">Dollar Tree </t>
  </si>
  <si>
    <t>Freds</t>
  </si>
  <si>
    <t xml:space="preserve">Eckerd Drug </t>
  </si>
  <si>
    <t xml:space="preserve">Osco Drugs </t>
  </si>
  <si>
    <t xml:space="preserve">A&amp;P </t>
  </si>
  <si>
    <t xml:space="preserve">Save A Lot </t>
  </si>
  <si>
    <t xml:space="preserve">Shop N Save </t>
  </si>
  <si>
    <t xml:space="preserve">Trader Joes </t>
  </si>
  <si>
    <t xml:space="preserve">Whole Foods </t>
  </si>
  <si>
    <t xml:space="preserve">Ace Hardware </t>
  </si>
  <si>
    <t xml:space="preserve">Home Depot </t>
  </si>
  <si>
    <t xml:space="preserve">Lowes Home Improvement </t>
  </si>
  <si>
    <t xml:space="preserve">True Value </t>
  </si>
  <si>
    <t xml:space="preserve">Petco </t>
  </si>
  <si>
    <t xml:space="preserve">Petsmart </t>
  </si>
  <si>
    <t xml:space="preserve">Tractor Supply Company </t>
  </si>
  <si>
    <t xml:space="preserve">Big Lots </t>
  </si>
  <si>
    <t xml:space="preserve">DeCA Commissary </t>
  </si>
  <si>
    <t xml:space="preserve">Babies R US </t>
  </si>
  <si>
    <t xml:space="preserve">Toys R Us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</si>
</sst>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0_);[Red]\(&quot;$&quot;#,##0\)"/>
    <numFmt numFmtId="44" formatCode="_(&quot;$&quot;* #,##0.00_);_(&quot;$&quot;* \(#,##0.00\);_(&quot;$&quot;* &quot;-&quot;??_);_(@_)"/>
    <numFmt numFmtId="164" formatCode="0.0%"/>
    <numFmt numFmtId="165" formatCode="0.0"/>
    <numFmt numFmtId="166" formatCode="&quot;$&quot;#,##0"/>
    <numFmt numFmtId="167" formatCode="0.0000"/>
    <numFmt numFmtId="168" formatCode="_(&quot;$&quot;* #,##0_);_(&quot;$&quot;* \(#,##0\);_(&quot;$&quot;* &quot;-&quot;??_);_(@_)"/>
    <numFmt numFmtId="169" formatCode="_(&quot;$&quot;* #,##0.0_);_(&quot;$&quot;* \(#,##0.0\);_(&quot;$&quot;* &quot;-&quot;??_);_(@_)"/>
  </numFmts>
  <fonts count="33">
    <font>
      <sz val="11"/>
      <color theme="1"/>
      <name val="Calibri"/>
      <family val="0"/>
      <scheme val="minor"/>
    </font>
    <font>
      <sz val="10"/>
      <name val="Arial"/>
      <family val="0"/>
    </font>
    <font>
      <b/>
      <sz val="14"/>
      <name val="Arial"/>
      <family val="0"/>
    </font>
    <font>
      <b/>
      <sz val="10"/>
      <name val="Arial"/>
      <family val="0"/>
    </font>
    <font>
      <sz val="8"/>
      <name val="Arial"/>
      <family val="0"/>
    </font>
    <font>
      <b/>
      <sz val="16"/>
      <name val="Arial"/>
      <family val="0"/>
    </font>
    <font>
      <b/>
      <i/>
      <sz val="10"/>
      <color indexed="17"/>
      <name val="Arial"/>
      <family val="0"/>
    </font>
    <font>
      <b/>
      <sz val="8"/>
      <name val="Arial"/>
      <family val="0"/>
    </font>
    <font>
      <i/>
      <sz val="14"/>
      <name val="Arial"/>
      <family val="0"/>
    </font>
    <font>
      <sz val="8"/>
      <name val="Tahoma"/>
      <family val="0"/>
    </font>
    <font>
      <sz val="9"/>
      <name val="Tahoma"/>
      <family val="0"/>
    </font>
    <font>
      <b/>
      <sz val="9"/>
      <name val="Tahoma"/>
      <family val="0"/>
    </font>
    <font>
      <sz val="11"/>
      <name val="Arial"/>
      <family val="0"/>
    </font>
    <font>
      <sz val="9"/>
      <name val="Arial"/>
      <family val="0"/>
    </font>
    <font>
      <b/>
      <sz val="8"/>
      <color rgb="FF00B050"/>
      <name val="Arial"/>
      <family val="0"/>
    </font>
    <font>
      <sz val="1"/>
      <color theme="0"/>
      <name val="Arial"/>
      <family val="0"/>
    </font>
    <font>
      <b/>
      <sz val="11"/>
      <color theme="0"/>
      <name val="Arial"/>
      <family val="0"/>
    </font>
    <font>
      <sz val="11"/>
      <color theme="1"/>
      <name val="Arial"/>
      <family val="0"/>
    </font>
    <font>
      <b/>
      <sz val="11"/>
      <color theme="1"/>
      <name val="Arial"/>
      <family val="0"/>
    </font>
    <font>
      <i/>
      <sz val="11"/>
      <color theme="1"/>
      <name val="Arial"/>
      <family val="0"/>
    </font>
    <font>
      <sz val="8"/>
      <color theme="1"/>
      <name val="Arial"/>
      <family val="0"/>
    </font>
    <font>
      <b/>
      <sz val="9"/>
      <color theme="1"/>
      <name val="Arial Narrow"/>
      <family val="0"/>
    </font>
    <font>
      <sz val="10"/>
      <color theme="1"/>
      <name val="Arial"/>
      <family val="0"/>
    </font>
    <font>
      <sz val="9"/>
      <color theme="1"/>
      <name val="Arial"/>
      <family val="0"/>
    </font>
    <font>
      <b/>
      <sz val="8"/>
      <color theme="0"/>
      <name val="Arial"/>
      <family val="0"/>
    </font>
    <font>
      <b/>
      <sz val="11"/>
      <color rgb="FFC00000"/>
      <name val="Arial"/>
      <family val="0"/>
    </font>
    <font>
      <i/>
      <sz val="11"/>
      <color theme="0"/>
      <name val="Arial"/>
      <family val="0"/>
    </font>
    <font>
      <sz val="11"/>
      <color theme="0"/>
      <name val="Arial"/>
      <family val="0"/>
    </font>
    <font>
      <b/>
      <sz val="14"/>
      <color theme="0"/>
      <name val="Arial"/>
      <family val="0"/>
    </font>
    <font>
      <b/>
      <sz val="10"/>
      <color theme="0"/>
      <name val="Arial"/>
      <family val="0"/>
    </font>
    <font>
      <sz val="8"/>
      <color theme="0"/>
      <name val="Arial"/>
      <family val="0"/>
    </font>
    <font>
      <b/>
      <sz val="8"/>
      <color theme="1"/>
      <name val="Arial"/>
      <family val="0"/>
    </font>
    <font>
      <b/>
      <sz val="10"/>
      <color theme="3"/>
      <name val="Arial"/>
      <family val="0"/>
    </font>
  </fonts>
  <fills count="13">
    <fill>
      <patternFill/>
    </fill>
    <fill>
      <patternFill patternType="gray125"/>
    </fill>
    <fill>
      <patternFill patternType="solid">
        <fgColor indexed="47"/>
        <bgColor indexed="64"/>
      </patternFill>
    </fill>
    <fill>
      <patternFill patternType="solid">
        <fgColor indexed="43"/>
        <bgColor indexed="64"/>
      </patternFill>
    </fill>
    <fill>
      <patternFill patternType="solid">
        <fgColor rgb="FFC00000"/>
        <bgColor indexed="64"/>
      </patternFill>
    </fill>
    <fill>
      <patternFill patternType="solid">
        <fgColor theme="2" tint="-0.249970003962517"/>
        <bgColor indexed="64"/>
      </patternFill>
    </fill>
    <fill>
      <patternFill patternType="solid">
        <fgColor theme="5" tint="0.399980008602142"/>
        <bgColor indexed="64"/>
      </patternFill>
    </fill>
    <fill>
      <patternFill patternType="solid">
        <fgColor rgb="FFFFFF00"/>
        <bgColor indexed="64"/>
      </patternFill>
    </fill>
    <fill>
      <patternFill patternType="solid">
        <fgColor theme="6" tint="0.399980008602142"/>
        <bgColor indexed="64"/>
      </patternFill>
    </fill>
    <fill>
      <patternFill patternType="solid">
        <fgColor theme="5" tint="0.599990010261536"/>
        <bgColor indexed="64"/>
      </patternFill>
    </fill>
    <fill>
      <patternFill patternType="solid">
        <fgColor indexed="44"/>
        <bgColor indexed="64"/>
      </patternFill>
    </fill>
    <fill>
      <patternFill patternType="solid">
        <fgColor theme="0" tint="-0.149990007281303"/>
        <bgColor indexed="64"/>
      </patternFill>
    </fill>
    <fill>
      <patternFill patternType="solid">
        <fgColor indexed="8"/>
        <bgColor indexed="64"/>
      </patternFill>
    </fill>
  </fills>
  <borders count="32">
    <border>
      <left/>
      <right/>
      <top/>
      <bottom/>
      <diagonal/>
    </border>
    <border>
      <left style="thin"/>
      <right/>
      <top/>
      <bottom/>
    </border>
    <border>
      <left style="thin"/>
      <right/>
      <top/>
      <bottom style="thin"/>
    </border>
    <border>
      <left style="thin"/>
      <right/>
      <top style="thin"/>
      <bottom/>
    </border>
    <border>
      <left style="thin"/>
      <right/>
      <top style="thin"/>
      <bottom style="thin"/>
    </border>
    <border>
      <left/>
      <right style="thin">
        <color theme="0"/>
      </right>
      <top style="thin">
        <color theme="0"/>
      </top>
      <bottom style="thin">
        <color theme="0"/>
      </bottom>
    </border>
    <border>
      <left style="medium"/>
      <right/>
      <top style="medium"/>
      <bottom/>
    </border>
    <border>
      <left/>
      <right/>
      <top style="medium"/>
      <bottom/>
    </border>
    <border>
      <left/>
      <right style="medium"/>
      <top style="medium"/>
      <bottom/>
    </border>
    <border>
      <left style="medium"/>
      <right/>
      <top/>
      <bottom/>
    </border>
    <border>
      <left/>
      <right style="medium"/>
      <top/>
      <bottom/>
    </border>
    <border>
      <left/>
      <right/>
      <top/>
      <bottom style="thin"/>
    </border>
    <border>
      <left/>
      <right style="thin"/>
      <top/>
      <bottom style="thin"/>
    </border>
    <border>
      <left/>
      <right style="thin"/>
      <top/>
      <bottom/>
    </border>
    <border>
      <left style="medium"/>
      <right/>
      <top/>
      <bottom style="medium"/>
    </border>
    <border>
      <left/>
      <right/>
      <top/>
      <bottom style="medium"/>
    </border>
    <border>
      <left/>
      <right style="medium"/>
      <top/>
      <bottom style="medium"/>
    </border>
    <border>
      <left/>
      <right/>
      <top style="thin"/>
      <bottom/>
    </border>
    <border>
      <left style="thin">
        <color rgb="FFC00000"/>
      </left>
      <right style="thin">
        <color rgb="FFC00000"/>
      </right>
      <top style="thin">
        <color rgb="FFC00000"/>
      </top>
      <bottom style="thin">
        <color rgb="FFC00000"/>
      </bottom>
    </border>
    <border>
      <left/>
      <right/>
      <top style="thin">
        <color theme="0"/>
      </top>
      <bottom/>
    </border>
    <border>
      <left/>
      <right style="thin"/>
      <top style="thin"/>
      <bottom/>
    </border>
    <border>
      <left style="thin">
        <color theme="0"/>
      </left>
      <right/>
      <top style="thin">
        <color theme="0"/>
      </top>
      <bottom/>
    </border>
    <border>
      <left/>
      <right style="thin">
        <color theme="0"/>
      </right>
      <top style="thin">
        <color theme="0"/>
      </top>
      <bottom/>
    </border>
    <border>
      <left style="thin">
        <color theme="0"/>
      </left>
      <right/>
      <top/>
      <bottom/>
    </border>
    <border>
      <left/>
      <right style="thin">
        <color theme="0"/>
      </right>
      <top/>
      <bottom/>
    </border>
    <border>
      <left style="thin">
        <color theme="0"/>
      </left>
      <right/>
      <top style="thin">
        <color theme="0"/>
      </top>
      <bottom style="thin">
        <color theme="0"/>
      </bottom>
    </border>
    <border>
      <left/>
      <right/>
      <top style="thin">
        <color theme="0"/>
      </top>
      <bottom style="thin">
        <color theme="0"/>
      </bottom>
    </border>
    <border>
      <left style="thin">
        <color theme="0"/>
      </left>
      <right/>
      <top/>
      <bottom style="thin">
        <color theme="0"/>
      </bottom>
    </border>
    <border>
      <left/>
      <right/>
      <top/>
      <bottom style="thin">
        <color theme="0"/>
      </bottom>
    </border>
    <border>
      <left/>
      <right style="thin">
        <color theme="0"/>
      </right>
      <top/>
      <bottom style="thin">
        <color theme="0"/>
      </bottom>
    </border>
    <border>
      <left/>
      <right/>
      <top style="thin"/>
      <bottom style="thin"/>
    </border>
    <border>
      <left/>
      <right style="thin"/>
      <top style="thin"/>
      <bottom style="thin"/>
    </border>
  </borders>
  <cellStyleXfs count="21">
    <xf numFmtId="0" fontId="0" fillId="0" borderId="0">
      <alignment/>
      <protection/>
    </xf>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0" fontId="1" fillId="0" borderId="0" applyNumberFormat="1" applyFill="1" applyBorder="1" applyAlignment="1" applyProtection="1"/>
    <xf numFmtId="9" fontId="0" fillId="0" borderId="0">
      <alignment/>
      <protection/>
    </xf>
    <xf numFmtId="44" fontId="0" fillId="0" borderId="0">
      <alignment/>
      <protection/>
    </xf>
    <xf numFmtId="42" fontId="1" fillId="0" borderId="0" applyFont="1" applyFill="1" applyBorder="1" applyAlignment="1" applyProtection="1"/>
    <xf numFmtId="43" fontId="1" fillId="0" borderId="0" applyFont="1" applyFill="1" applyBorder="1" applyAlignment="1" applyProtection="1"/>
    <xf numFmtId="41" fontId="1" fillId="0" borderId="0" applyFont="1" applyFill="1" applyBorder="1" applyAlignment="1" applyProtection="1"/>
    <xf numFmtId="0" fontId="1" fillId="0" borderId="0">
      <alignment/>
      <protection/>
    </xf>
  </cellStyleXfs>
  <cellXfs count="206">
    <xf numFmtId="0" fontId="0" fillId="0" borderId="0" xfId="0"/>
    <xf numFmtId="0" fontId="2" fillId="0" borderId="0" xfId="0" applyFont="1"/>
    <xf numFmtId="9" fontId="14" fillId="0" borderId="0" xfId="0" applyNumberFormat="1" applyFont="1" applyFill="1" applyBorder="1" applyAlignment="1">
      <alignment horizontal="center" wrapText="1"/>
    </xf>
    <xf numFmtId="164" fontId="3" fillId="2" borderId="0" xfId="15" applyNumberFormat="1" applyFont="1" applyFill="1" applyBorder="1" applyAlignment="1">
      <alignment horizontal="center"/>
      <protection/>
    </xf>
    <xf numFmtId="164" fontId="3" fillId="0" borderId="0" xfId="15" applyNumberFormat="1" applyFont="1" applyFill="1" applyBorder="1" applyAlignment="1">
      <alignment horizontal="center"/>
      <protection/>
    </xf>
    <xf numFmtId="0" fontId="4" fillId="2" borderId="0" xfId="0" applyFont="1" applyFill="1" applyBorder="1" applyAlignment="1">
      <alignment horizontal="center" vertical="top" wrapText="1"/>
    </xf>
    <xf numFmtId="164" fontId="3" fillId="3" borderId="0" xfId="15" applyNumberFormat="1" applyFont="1" applyFill="1" applyBorder="1" applyAlignment="1">
      <alignment horizontal="center"/>
      <protection/>
    </xf>
    <xf numFmtId="0" fontId="4" fillId="3" borderId="0" xfId="0" applyFont="1" applyFill="1" applyBorder="1" applyAlignment="1">
      <alignment horizontal="center" vertical="top" wrapText="1"/>
    </xf>
    <xf numFmtId="0" fontId="4" fillId="2" borderId="1" xfId="0" applyFont="1" applyFill="1" applyBorder="1" applyAlignment="1">
      <alignment horizontal="center" vertical="top" wrapText="1"/>
    </xf>
    <xf numFmtId="0" fontId="4" fillId="3" borderId="1" xfId="0" applyFont="1" applyFill="1" applyBorder="1" applyAlignment="1">
      <alignment horizontal="center" vertical="top" wrapText="1"/>
    </xf>
    <xf numFmtId="164" fontId="7" fillId="0" borderId="0" xfId="0" applyNumberFormat="1" applyFont="1" applyFill="1" applyBorder="1" applyAlignment="1">
      <alignment horizontal="center" wrapText="1"/>
    </xf>
    <xf numFmtId="164" fontId="7" fillId="0" borderId="2" xfId="0" applyNumberFormat="1" applyFont="1" applyFill="1" applyBorder="1" applyAlignment="1">
      <alignment horizontal="center" wrapText="1"/>
    </xf>
    <xf numFmtId="164" fontId="7" fillId="0" borderId="3" xfId="0" applyNumberFormat="1" applyFont="1" applyFill="1" applyBorder="1" applyAlignment="1">
      <alignment horizontal="center" wrapText="1"/>
    </xf>
    <xf numFmtId="164" fontId="15" fillId="0" borderId="4" xfId="0" applyNumberFormat="1" applyFont="1" applyFill="1" applyBorder="1" applyAlignment="1">
      <alignment horizontal="center" wrapText="1"/>
    </xf>
    <xf numFmtId="164" fontId="15" fillId="0" borderId="2" xfId="0" applyNumberFormat="1" applyFont="1" applyFill="1" applyBorder="1" applyAlignment="1">
      <alignment horizontal="center" wrapText="1"/>
    </xf>
    <xf numFmtId="0" fontId="16" fillId="4" borderId="5" xfId="0" applyFont="1" applyFill="1" applyBorder="1" applyAlignment="1">
      <alignment horizontal="center" vertical="center"/>
    </xf>
    <xf numFmtId="0" fontId="4" fillId="0" borderId="0" xfId="0" applyFont="1" applyFill="1" applyBorder="1" applyAlignment="1">
      <alignment horizontal="center" vertical="center" wrapText="1"/>
    </xf>
    <xf numFmtId="164" fontId="7" fillId="0" borderId="0" xfId="15" applyNumberFormat="1" applyFont="1" applyFill="1" applyAlignment="1">
      <alignment horizontal="center" vertical="center" wrapText="1"/>
      <protection/>
    </xf>
    <xf numFmtId="164" fontId="7" fillId="0" borderId="0" xfId="15" applyNumberFormat="1" applyFont="1" applyFill="1" applyBorder="1" applyAlignment="1">
      <alignment horizontal="center" vertical="center" wrapText="1"/>
      <protection/>
    </xf>
    <xf numFmtId="0" fontId="17" fillId="0" borderId="0" xfId="0" applyFont="1"/>
    <xf numFmtId="0" fontId="18" fillId="5" borderId="0" xfId="0" applyFont="1" applyFill="1"/>
    <xf numFmtId="0" fontId="17" fillId="0" borderId="0" xfId="0" applyFont="1" applyBorder="1"/>
    <xf numFmtId="0" fontId="17" fillId="0" borderId="6" xfId="0" applyFont="1" applyBorder="1"/>
    <xf numFmtId="0" fontId="17" fillId="0" borderId="7" xfId="0" applyFont="1" applyBorder="1"/>
    <xf numFmtId="0" fontId="17" fillId="0" borderId="8" xfId="0" applyFont="1" applyBorder="1"/>
    <xf numFmtId="0" fontId="17" fillId="0" borderId="9" xfId="0" applyFont="1" applyBorder="1"/>
    <xf numFmtId="0" fontId="17" fillId="0" borderId="10" xfId="0" applyFont="1" applyBorder="1"/>
    <xf numFmtId="0" fontId="17" fillId="0" borderId="11" xfId="0" applyFont="1" applyBorder="1"/>
    <xf numFmtId="0" fontId="17" fillId="0" borderId="12" xfId="0" applyFont="1" applyBorder="1"/>
    <xf numFmtId="0" fontId="17" fillId="0" borderId="13" xfId="0" applyFont="1" applyBorder="1"/>
    <xf numFmtId="0" fontId="17" fillId="0" borderId="1" xfId="0" applyFont="1" applyBorder="1"/>
    <xf numFmtId="0" fontId="17" fillId="0" borderId="2" xfId="0" applyFont="1" applyBorder="1"/>
    <xf numFmtId="0" fontId="17" fillId="0" borderId="3" xfId="0" applyFont="1" applyBorder="1"/>
    <xf numFmtId="0" fontId="17" fillId="0" borderId="11" xfId="0" applyFont="1" applyBorder="1"/>
    <xf numFmtId="0" fontId="17" fillId="2" borderId="0" xfId="0" applyFont="1" applyFill="1" applyBorder="1"/>
    <xf numFmtId="0" fontId="17" fillId="2" borderId="2" xfId="0" applyFont="1" applyFill="1" applyBorder="1"/>
    <xf numFmtId="0" fontId="17" fillId="2" borderId="0" xfId="0" applyFont="1" applyFill="1"/>
    <xf numFmtId="0" fontId="17" fillId="0" borderId="0" xfId="0" applyFont="1"/>
    <xf numFmtId="0" fontId="17" fillId="2" borderId="0" xfId="0" applyFont="1" applyFill="1" applyBorder="1" applyAlignment="1">
      <alignment horizontal="center" wrapText="1"/>
    </xf>
    <xf numFmtId="0" fontId="17" fillId="0" borderId="0" xfId="0" applyFont="1" applyFill="1" applyBorder="1" applyAlignment="1">
      <alignment horizontal="center" wrapText="1"/>
    </xf>
    <xf numFmtId="0" fontId="17" fillId="0" borderId="0" xfId="0" applyFont="1" applyFill="1" applyBorder="1"/>
    <xf numFmtId="0" fontId="17" fillId="0" borderId="9" xfId="0" applyFont="1" applyFill="1" applyBorder="1"/>
    <xf numFmtId="0" fontId="17" fillId="0" borderId="10" xfId="0" applyFont="1" applyFill="1" applyBorder="1"/>
    <xf numFmtId="0" fontId="17" fillId="0" borderId="0" xfId="0" applyFont="1" applyFill="1"/>
    <xf numFmtId="0" fontId="17" fillId="0" borderId="11" xfId="0" applyFont="1" applyFill="1" applyBorder="1"/>
    <xf numFmtId="0" fontId="17" fillId="0" borderId="11" xfId="0" applyFont="1" applyFill="1" applyBorder="1" applyAlignment="1">
      <alignment horizontal="center" wrapText="1"/>
    </xf>
    <xf numFmtId="0" fontId="17" fillId="0" borderId="2" xfId="0" applyFont="1" applyFill="1" applyBorder="1" applyAlignment="1">
      <alignment horizontal="center" wrapText="1"/>
    </xf>
    <xf numFmtId="0" fontId="17" fillId="0" borderId="4" xfId="0" applyFont="1" applyFill="1" applyBorder="1"/>
    <xf numFmtId="0" fontId="17" fillId="0" borderId="2" xfId="0" applyFont="1" applyFill="1" applyBorder="1"/>
    <xf numFmtId="0" fontId="17" fillId="0" borderId="1" xfId="0" applyFont="1" applyFill="1" applyBorder="1" applyAlignment="1">
      <alignment horizontal="center" wrapText="1"/>
    </xf>
    <xf numFmtId="0" fontId="17" fillId="0" borderId="0" xfId="0" applyFont="1" applyFill="1" applyBorder="1" applyAlignment="1">
      <alignment wrapText="1"/>
    </xf>
    <xf numFmtId="0" fontId="17" fillId="0" borderId="1" xfId="0" applyFont="1" applyFill="1" applyBorder="1" applyAlignment="1">
      <alignment wrapText="1"/>
    </xf>
    <xf numFmtId="0" fontId="17" fillId="3" borderId="0" xfId="0" applyFont="1" applyFill="1" applyBorder="1"/>
    <xf numFmtId="0" fontId="17" fillId="3" borderId="0" xfId="0" applyFont="1" applyFill="1" applyBorder="1" applyAlignment="1">
      <alignment horizontal="center" wrapText="1"/>
    </xf>
    <xf numFmtId="0" fontId="17" fillId="3" borderId="1" xfId="0" applyFont="1" applyFill="1" applyBorder="1" applyAlignment="1">
      <alignment horizontal="center" wrapText="1"/>
    </xf>
    <xf numFmtId="0" fontId="17" fillId="3" borderId="1" xfId="0" applyFont="1" applyFill="1" applyBorder="1"/>
    <xf numFmtId="0" fontId="17" fillId="3" borderId="0" xfId="0" applyFont="1" applyFill="1" applyBorder="1" applyAlignment="1">
      <alignment wrapText="1"/>
    </xf>
    <xf numFmtId="0" fontId="17" fillId="3" borderId="1" xfId="0" applyFont="1" applyFill="1" applyBorder="1" applyAlignment="1">
      <alignment wrapText="1"/>
    </xf>
    <xf numFmtId="0" fontId="17" fillId="3" borderId="0" xfId="0" applyFont="1" applyFill="1"/>
    <xf numFmtId="0" fontId="17" fillId="0" borderId="1" xfId="0" applyFont="1" applyBorder="1"/>
    <xf numFmtId="0" fontId="17" fillId="0" borderId="1" xfId="0" applyFont="1" applyFill="1" applyBorder="1"/>
    <xf numFmtId="0" fontId="4" fillId="0" borderId="0" xfId="0" applyFont="1" applyFill="1" applyAlignment="1">
      <alignment horizontal="center" vertical="center"/>
    </xf>
    <xf numFmtId="0" fontId="17" fillId="0" borderId="14" xfId="0" applyFont="1" applyBorder="1"/>
    <xf numFmtId="0" fontId="17" fillId="0" borderId="15" xfId="0" applyFont="1" applyBorder="1"/>
    <xf numFmtId="0" fontId="17" fillId="0" borderId="16" xfId="0" applyFont="1" applyBorder="1"/>
    <xf numFmtId="0" fontId="17" fillId="5" borderId="0" xfId="0" applyFont="1" applyFill="1"/>
    <xf numFmtId="0" fontId="17" fillId="6" borderId="0" xfId="0" applyFont="1" applyFill="1"/>
    <xf numFmtId="0" fontId="17" fillId="5" borderId="0" xfId="0" applyFont="1" applyFill="1" applyAlignment="1">
      <alignment wrapText="1"/>
    </xf>
    <xf numFmtId="0" fontId="18" fillId="5" borderId="0" xfId="0" applyFont="1" applyFill="1" applyAlignment="1">
      <alignment wrapText="1"/>
    </xf>
    <xf numFmtId="0" fontId="18" fillId="0" borderId="0" xfId="0" applyFont="1"/>
    <xf numFmtId="166" fontId="19" fillId="5" borderId="0" xfId="0" applyNumberFormat="1" applyFont="1" applyFill="1" applyAlignment="1">
      <alignment/>
    </xf>
    <xf numFmtId="165" fontId="18" fillId="5" borderId="0" xfId="0" applyNumberFormat="1" applyFont="1" applyFill="1" applyAlignment="1">
      <alignment wrapText="1"/>
    </xf>
    <xf numFmtId="165" fontId="17" fillId="6" borderId="0" xfId="0" applyNumberFormat="1" applyFont="1" applyFill="1"/>
    <xf numFmtId="165" fontId="17" fillId="5" borderId="0" xfId="0" applyNumberFormat="1" applyFont="1" applyFill="1"/>
    <xf numFmtId="167" fontId="17" fillId="5" borderId="0" xfId="0" applyNumberFormat="1" applyFont="1" applyFill="1"/>
    <xf numFmtId="166" fontId="17" fillId="5" borderId="0" xfId="0" applyNumberFormat="1" applyFont="1" applyFill="1"/>
    <xf numFmtId="0" fontId="17" fillId="5" borderId="0" xfId="0" applyNumberFormat="1" applyFont="1" applyFill="1"/>
    <xf numFmtId="2" fontId="17" fillId="0" borderId="0" xfId="0" applyNumberFormat="1" applyFont="1"/>
    <xf numFmtId="0" fontId="20" fillId="0" borderId="0" xfId="0" applyFont="1"/>
    <xf numFmtId="0" fontId="21" fillId="0" borderId="0" xfId="0" applyFont="1"/>
    <xf numFmtId="0" fontId="17" fillId="0" borderId="17" xfId="0" applyFont="1" applyBorder="1"/>
    <xf numFmtId="164" fontId="7" fillId="0" borderId="11" xfId="0" applyNumberFormat="1" applyFont="1" applyFill="1" applyBorder="1" applyAlignment="1">
      <alignment horizontal="center" wrapText="1"/>
    </xf>
    <xf numFmtId="0" fontId="12" fillId="0" borderId="0" xfId="0" applyFont="1"/>
    <xf numFmtId="0" fontId="22" fillId="0" borderId="0" xfId="0" applyFont="1"/>
    <xf numFmtId="168" fontId="17" fillId="0" borderId="0" xfId="16" applyNumberFormat="1" applyFont="1" applyFill="1">
      <alignment/>
      <protection/>
    </xf>
    <xf numFmtId="0" fontId="23" fillId="5" borderId="0" xfId="0" applyFont="1" applyFill="1" applyAlignment="1">
      <alignment wrapText="1"/>
    </xf>
    <xf numFmtId="165" fontId="7" fillId="0" borderId="0" xfId="0" applyNumberFormat="1" applyFont="1" applyFill="1" applyBorder="1" applyAlignment="1">
      <alignment horizontal="center" vertical="center" wrapText="1"/>
    </xf>
    <xf numFmtId="165" fontId="4" fillId="0" borderId="0" xfId="0" applyNumberFormat="1" applyFont="1" applyFill="1" applyBorder="1" applyAlignment="1">
      <alignment horizontal="center" vertical="center" wrapText="1"/>
    </xf>
    <xf numFmtId="164" fontId="24" fillId="0" borderId="0" xfId="15" applyNumberFormat="1" applyFont="1" applyFill="1" applyBorder="1" applyAlignment="1">
      <alignment horizontal="center" vertical="center" wrapText="1"/>
      <protection/>
    </xf>
    <xf numFmtId="0" fontId="17" fillId="0" borderId="0" xfId="0" applyFont="1"/>
    <xf numFmtId="0" fontId="17" fillId="0" borderId="0" xfId="0" applyFont="1"/>
    <xf numFmtId="0" fontId="25" fillId="0" borderId="18" xfId="0" applyFont="1" applyBorder="1"/>
    <xf numFmtId="0" fontId="17" fillId="0" borderId="0" xfId="0" applyFont="1"/>
    <xf numFmtId="0" fontId="18" fillId="0" borderId="0" xfId="0" applyFont="1" applyFill="1"/>
    <xf numFmtId="0" fontId="16" fillId="0" borderId="0" xfId="0" applyFont="1" applyFill="1" applyBorder="1" applyAlignment="1">
      <alignment horizontal="center"/>
    </xf>
    <xf numFmtId="0" fontId="16" fillId="0" borderId="0" xfId="0" applyFont="1" applyFill="1" applyBorder="1" applyAlignment="1">
      <alignment horizontal="center" vertical="center"/>
    </xf>
    <xf numFmtId="0" fontId="16" fillId="0" borderId="0" xfId="0" applyFont="1" applyFill="1" applyBorder="1" applyAlignment="1">
      <alignment horizontal="left" vertical="center"/>
    </xf>
    <xf numFmtId="0" fontId="26" fillId="0" borderId="0" xfId="0" applyFont="1" applyFill="1" applyBorder="1" applyAlignment="1">
      <alignment horizontal="center" vertical="center" wrapText="1"/>
    </xf>
    <xf numFmtId="0" fontId="27" fillId="0" borderId="19" xfId="0" applyFont="1" applyFill="1" applyBorder="1" applyAlignment="1">
      <alignment vertical="center"/>
    </xf>
    <xf numFmtId="0" fontId="27" fillId="0" borderId="0" xfId="0" applyFont="1" applyFill="1" applyBorder="1" applyAlignment="1">
      <alignment vertical="center"/>
    </xf>
    <xf numFmtId="0" fontId="12" fillId="3" borderId="0" xfId="0" applyFont="1" applyFill="1" applyBorder="1" applyAlignment="1">
      <alignment wrapText="1"/>
    </xf>
    <xf numFmtId="0" fontId="13" fillId="3" borderId="0" xfId="0" applyFont="1" applyFill="1" applyBorder="1" applyAlignment="1">
      <alignment wrapText="1"/>
    </xf>
    <xf numFmtId="0" fontId="4" fillId="3" borderId="0" xfId="0" applyFont="1" applyFill="1" applyBorder="1" applyAlignment="1">
      <alignment wrapText="1"/>
    </xf>
    <xf numFmtId="169" fontId="17" fillId="0" borderId="0" xfId="0" applyNumberFormat="1" applyFont="1" applyFill="1"/>
    <xf numFmtId="169" fontId="17" fillId="0" borderId="0" xfId="16" applyNumberFormat="1" applyFont="1" applyFill="1">
      <alignment/>
      <protection/>
    </xf>
    <xf numFmtId="0" fontId="12" fillId="3" borderId="0" xfId="0" applyFont="1" applyFill="1" applyBorder="1"/>
    <xf numFmtId="0" fontId="12" fillId="3" borderId="0" xfId="15" applyNumberFormat="1" applyFont="1" applyFill="1" applyBorder="1">
      <alignment/>
      <protection/>
    </xf>
    <xf numFmtId="0" fontId="17" fillId="0" borderId="11" xfId="0" applyFont="1" applyBorder="1"/>
    <xf numFmtId="0" fontId="17" fillId="0" borderId="12" xfId="0" applyFont="1" applyBorder="1"/>
    <xf numFmtId="0" fontId="17" fillId="0" borderId="0" xfId="0" applyFont="1"/>
    <xf numFmtId="0" fontId="17" fillId="0" borderId="1" xfId="0" applyFont="1" applyBorder="1"/>
    <xf numFmtId="169" fontId="17" fillId="0" borderId="0" xfId="0" applyNumberFormat="1" applyFont="1" applyFill="1" applyAlignment="1">
      <alignment wrapText="1"/>
    </xf>
    <xf numFmtId="0" fontId="17" fillId="0" borderId="0" xfId="0" applyFont="1"/>
    <xf numFmtId="0" fontId="17" fillId="0" borderId="0" xfId="0" applyFont="1"/>
    <xf numFmtId="165" fontId="17" fillId="7" borderId="0" xfId="0" applyNumberFormat="1" applyFont="1" applyFill="1"/>
    <xf numFmtId="0" fontId="18" fillId="5" borderId="0" xfId="0" applyFont="1" applyFill="1" applyAlignment="1">
      <alignment horizontal="center"/>
    </xf>
    <xf numFmtId="164" fontId="3" fillId="8" borderId="3" xfId="15" applyNumberFormat="1" applyFont="1" applyFill="1" applyBorder="1" applyAlignment="1">
      <alignment horizontal="center"/>
      <protection/>
    </xf>
    <xf numFmtId="164" fontId="3" fillId="8" borderId="17" xfId="15" applyNumberFormat="1" applyFont="1" applyFill="1" applyBorder="1" applyAlignment="1">
      <alignment horizontal="center"/>
      <protection/>
    </xf>
    <xf numFmtId="164" fontId="3" fillId="8" borderId="20" xfId="15" applyNumberFormat="1" applyFont="1" applyFill="1" applyBorder="1" applyAlignment="1">
      <alignment horizontal="center"/>
      <protection/>
    </xf>
    <xf numFmtId="0" fontId="4" fillId="8" borderId="2" xfId="0" applyFont="1" applyFill="1" applyBorder="1" applyAlignment="1">
      <alignment horizontal="center" vertical="top" wrapText="1" shrinkToFit="1"/>
    </xf>
    <xf numFmtId="0" fontId="17" fillId="0" borderId="11" xfId="0" applyFont="1" applyBorder="1"/>
    <xf numFmtId="0" fontId="17" fillId="0" borderId="12" xfId="0" applyFont="1" applyBorder="1"/>
    <xf numFmtId="164" fontId="3" fillId="9" borderId="3" xfId="15" applyNumberFormat="1" applyFont="1" applyFill="1" applyBorder="1" applyAlignment="1">
      <alignment horizontal="center"/>
      <protection/>
    </xf>
    <xf numFmtId="164" fontId="3" fillId="9" borderId="17" xfId="15" applyNumberFormat="1" applyFont="1" applyFill="1" applyBorder="1" applyAlignment="1">
      <alignment horizontal="center"/>
      <protection/>
    </xf>
    <xf numFmtId="164" fontId="3" fillId="9" borderId="20" xfId="15" applyNumberFormat="1" applyFont="1" applyFill="1" applyBorder="1" applyAlignment="1">
      <alignment horizontal="center"/>
      <protection/>
    </xf>
    <xf numFmtId="0" fontId="4" fillId="9" borderId="2" xfId="0" applyFont="1" applyFill="1" applyBorder="1" applyAlignment="1">
      <alignment horizontal="center" vertical="top" wrapText="1"/>
    </xf>
    <xf numFmtId="0" fontId="4" fillId="9" borderId="11" xfId="0" applyFont="1" applyFill="1" applyBorder="1" applyAlignment="1">
      <alignment horizontal="center" vertical="top" wrapText="1"/>
    </xf>
    <xf numFmtId="0" fontId="4" fillId="9" borderId="12" xfId="0" applyFont="1" applyFill="1" applyBorder="1" applyAlignment="1">
      <alignment horizontal="center" vertical="top" wrapText="1"/>
    </xf>
    <xf numFmtId="0" fontId="5" fillId="2" borderId="0" xfId="0" applyFont="1" applyFill="1" applyBorder="1" applyAlignment="1">
      <alignment horizontal="right" vertical="center" wrapText="1"/>
    </xf>
    <xf numFmtId="0" fontId="17" fillId="0" borderId="0" xfId="0" applyFont="1"/>
    <xf numFmtId="0" fontId="6" fillId="0" borderId="0" xfId="0" applyFont="1" applyAlignment="1">
      <alignment horizontal="center"/>
    </xf>
    <xf numFmtId="0" fontId="4" fillId="0" borderId="0" xfId="0" applyFont="1" applyFill="1" applyBorder="1" applyAlignment="1">
      <alignment horizontal="left" vertical="top" wrapText="1" shrinkToFit="1"/>
    </xf>
    <xf numFmtId="0" fontId="4" fillId="10" borderId="2" xfId="0" applyFont="1" applyFill="1" applyBorder="1" applyAlignment="1">
      <alignment horizontal="center" vertical="top" wrapText="1"/>
    </xf>
    <xf numFmtId="0" fontId="4" fillId="10" borderId="11" xfId="0" applyFont="1" applyFill="1" applyBorder="1" applyAlignment="1">
      <alignment horizontal="center" vertical="top" wrapText="1"/>
    </xf>
    <xf numFmtId="0" fontId="4" fillId="10" borderId="12" xfId="0" applyFont="1" applyFill="1" applyBorder="1" applyAlignment="1">
      <alignment horizontal="center" vertical="top" wrapText="1"/>
    </xf>
    <xf numFmtId="0" fontId="4" fillId="11" borderId="2" xfId="0" applyFont="1" applyFill="1" applyBorder="1" applyAlignment="1">
      <alignment horizontal="center" vertical="top" wrapText="1"/>
    </xf>
    <xf numFmtId="0" fontId="4" fillId="11" borderId="11" xfId="0" applyFont="1" applyFill="1" applyBorder="1" applyAlignment="1">
      <alignment horizontal="center" vertical="top" wrapText="1"/>
    </xf>
    <xf numFmtId="0" fontId="4" fillId="11" borderId="12" xfId="0" applyFont="1" applyFill="1" applyBorder="1" applyAlignment="1">
      <alignment horizontal="center" vertical="top" wrapText="1"/>
    </xf>
    <xf numFmtId="0" fontId="4" fillId="8" borderId="2" xfId="0" applyFont="1" applyFill="1" applyBorder="1" applyAlignment="1">
      <alignment horizontal="center" vertical="top" wrapText="1"/>
    </xf>
    <xf numFmtId="0" fontId="4" fillId="8" borderId="11" xfId="0" applyFont="1" applyFill="1" applyBorder="1" applyAlignment="1">
      <alignment horizontal="center" vertical="top" wrapText="1"/>
    </xf>
    <xf numFmtId="0" fontId="4" fillId="8" borderId="12" xfId="0" applyFont="1" applyFill="1" applyBorder="1" applyAlignment="1">
      <alignment horizontal="center" vertical="top" wrapText="1"/>
    </xf>
    <xf numFmtId="0" fontId="28" fillId="4" borderId="21" xfId="0" applyFont="1" applyFill="1" applyBorder="1" applyAlignment="1">
      <alignment horizontal="center"/>
    </xf>
    <xf numFmtId="0" fontId="28" fillId="4" borderId="19" xfId="0" applyFont="1" applyFill="1" applyBorder="1" applyAlignment="1">
      <alignment horizontal="center"/>
    </xf>
    <xf numFmtId="0" fontId="28" fillId="4" borderId="22" xfId="0" applyFont="1" applyFill="1" applyBorder="1" applyAlignment="1">
      <alignment horizontal="center"/>
    </xf>
    <xf numFmtId="0" fontId="28" fillId="4" borderId="23" xfId="0" applyFont="1" applyFill="1" applyBorder="1" applyAlignment="1">
      <alignment horizontal="center"/>
    </xf>
    <xf numFmtId="0" fontId="28" fillId="4" borderId="0" xfId="0" applyFont="1" applyFill="1" applyBorder="1" applyAlignment="1">
      <alignment horizontal="center"/>
    </xf>
    <xf numFmtId="0" fontId="28" fillId="4" borderId="24" xfId="0" applyFont="1" applyFill="1" applyBorder="1" applyAlignment="1">
      <alignment horizontal="center"/>
    </xf>
    <xf numFmtId="0" fontId="16" fillId="4" borderId="25" xfId="0" applyFont="1" applyFill="1" applyBorder="1" applyAlignment="1">
      <alignment horizontal="left" vertical="center"/>
    </xf>
    <xf numFmtId="0" fontId="16" fillId="4" borderId="26" xfId="0" applyFont="1" applyFill="1" applyBorder="1" applyAlignment="1">
      <alignment horizontal="left" vertical="center"/>
    </xf>
    <xf numFmtId="0" fontId="16" fillId="4" borderId="5" xfId="0" applyFont="1" applyFill="1" applyBorder="1" applyAlignment="1">
      <alignment horizontal="left" vertical="center"/>
    </xf>
    <xf numFmtId="9" fontId="3" fillId="8" borderId="3" xfId="15" applyNumberFormat="1" applyFont="1" applyFill="1" applyBorder="1" applyAlignment="1">
      <alignment horizontal="center"/>
      <protection/>
    </xf>
    <xf numFmtId="9" fontId="3" fillId="8" borderId="17" xfId="15" applyNumberFormat="1" applyFont="1" applyFill="1" applyBorder="1" applyAlignment="1">
      <alignment horizontal="center"/>
      <protection/>
    </xf>
    <xf numFmtId="9" fontId="3" fillId="8" borderId="20" xfId="15" applyNumberFormat="1" applyFont="1" applyFill="1" applyBorder="1" applyAlignment="1">
      <alignment horizontal="center"/>
      <protection/>
    </xf>
    <xf numFmtId="3" fontId="29" fillId="12" borderId="3" xfId="0" applyNumberFormat="1" applyFont="1" applyFill="1" applyBorder="1" applyAlignment="1">
      <alignment horizontal="center"/>
    </xf>
    <xf numFmtId="3" fontId="29" fillId="12" borderId="17" xfId="0" applyNumberFormat="1" applyFont="1" applyFill="1" applyBorder="1" applyAlignment="1">
      <alignment horizontal="center"/>
    </xf>
    <xf numFmtId="3" fontId="29" fillId="12" borderId="20" xfId="0" applyNumberFormat="1" applyFont="1" applyFill="1" applyBorder="1" applyAlignment="1">
      <alignment horizontal="center"/>
    </xf>
    <xf numFmtId="0" fontId="16" fillId="4" borderId="23" xfId="0" applyFont="1" applyFill="1" applyBorder="1" applyAlignment="1">
      <alignment horizontal="center"/>
    </xf>
    <xf numFmtId="0" fontId="16" fillId="4" borderId="0" xfId="0" applyFont="1" applyFill="1" applyBorder="1" applyAlignment="1">
      <alignment horizontal="center"/>
    </xf>
    <xf numFmtId="0" fontId="16" fillId="4" borderId="24" xfId="0" applyFont="1" applyFill="1" applyBorder="1" applyAlignment="1">
      <alignment horizontal="center"/>
    </xf>
    <xf numFmtId="3" fontId="30" fillId="12" borderId="2" xfId="0" applyNumberFormat="1" applyFont="1" applyFill="1" applyBorder="1" applyAlignment="1">
      <alignment horizontal="center"/>
    </xf>
    <xf numFmtId="3" fontId="30" fillId="12" borderId="11" xfId="0" applyNumberFormat="1" applyFont="1" applyFill="1" applyBorder="1" applyAlignment="1">
      <alignment horizontal="center"/>
    </xf>
    <xf numFmtId="3" fontId="30" fillId="12" borderId="12" xfId="0" applyNumberFormat="1" applyFont="1" applyFill="1" applyBorder="1" applyAlignment="1">
      <alignment horizontal="center"/>
    </xf>
    <xf numFmtId="0" fontId="16" fillId="4" borderId="27" xfId="0" applyFont="1" applyFill="1" applyBorder="1" applyAlignment="1">
      <alignment horizontal="center"/>
    </xf>
    <xf numFmtId="0" fontId="16" fillId="4" borderId="28" xfId="0" applyFont="1" applyFill="1" applyBorder="1" applyAlignment="1">
      <alignment horizontal="center"/>
    </xf>
    <xf numFmtId="0" fontId="16" fillId="4" borderId="29" xfId="0" applyFont="1" applyFill="1" applyBorder="1" applyAlignment="1">
      <alignment horizontal="center"/>
    </xf>
    <xf numFmtId="0" fontId="18" fillId="0" borderId="0" xfId="0" applyFont="1" applyAlignment="1">
      <alignment horizontal="center"/>
    </xf>
    <xf numFmtId="0" fontId="26" fillId="4" borderId="22" xfId="0" applyFont="1" applyFill="1" applyBorder="1" applyAlignment="1">
      <alignment horizontal="center" vertical="center" wrapText="1"/>
    </xf>
    <xf numFmtId="0" fontId="26" fillId="4" borderId="24" xfId="0" applyFont="1" applyFill="1" applyBorder="1" applyAlignment="1">
      <alignment horizontal="center" vertical="center" wrapText="1"/>
    </xf>
    <xf numFmtId="0" fontId="26" fillId="4" borderId="29" xfId="0" applyFont="1" applyFill="1" applyBorder="1" applyAlignment="1">
      <alignment horizontal="center" vertical="center" wrapText="1"/>
    </xf>
    <xf numFmtId="164" fontId="4" fillId="9" borderId="1" xfId="15" applyNumberFormat="1" applyFont="1" applyFill="1" applyBorder="1" applyAlignment="1">
      <alignment horizontal="center" vertical="top" wrapText="1"/>
      <protection/>
    </xf>
    <xf numFmtId="164" fontId="4" fillId="9" borderId="0" xfId="15" applyNumberFormat="1" applyFont="1" applyFill="1" applyBorder="1" applyAlignment="1">
      <alignment horizontal="center" vertical="top" wrapText="1"/>
      <protection/>
    </xf>
    <xf numFmtId="164" fontId="4" fillId="9" borderId="13" xfId="15" applyNumberFormat="1" applyFont="1" applyFill="1" applyBorder="1" applyAlignment="1">
      <alignment horizontal="center" vertical="top" wrapText="1"/>
      <protection/>
    </xf>
    <xf numFmtId="164" fontId="4" fillId="9" borderId="2" xfId="15" applyNumberFormat="1" applyFont="1" applyFill="1" applyBorder="1" applyAlignment="1">
      <alignment horizontal="center" vertical="top" wrapText="1"/>
      <protection/>
    </xf>
    <xf numFmtId="164" fontId="4" fillId="9" borderId="11" xfId="15" applyNumberFormat="1" applyFont="1" applyFill="1" applyBorder="1" applyAlignment="1">
      <alignment horizontal="center" vertical="top" wrapText="1"/>
      <protection/>
    </xf>
    <xf numFmtId="164" fontId="4" fillId="9" borderId="12" xfId="15" applyNumberFormat="1" applyFont="1" applyFill="1" applyBorder="1" applyAlignment="1">
      <alignment horizontal="center" vertical="top" wrapText="1"/>
      <protection/>
    </xf>
    <xf numFmtId="0" fontId="4" fillId="8" borderId="1" xfId="0" applyFont="1" applyFill="1" applyBorder="1" applyAlignment="1">
      <alignment horizontal="center" vertical="top" wrapText="1"/>
    </xf>
    <xf numFmtId="0" fontId="4" fillId="8" borderId="0" xfId="0" applyFont="1" applyFill="1" applyBorder="1" applyAlignment="1">
      <alignment horizontal="center" vertical="top" wrapText="1"/>
    </xf>
    <xf numFmtId="0" fontId="4" fillId="8" borderId="13" xfId="0" applyFont="1" applyFill="1" applyBorder="1" applyAlignment="1">
      <alignment horizontal="center" vertical="top" wrapText="1"/>
    </xf>
    <xf numFmtId="0" fontId="4" fillId="9" borderId="1" xfId="0" applyFont="1" applyFill="1" applyBorder="1" applyAlignment="1">
      <alignment horizontal="center" vertical="top" wrapText="1"/>
    </xf>
    <xf numFmtId="0" fontId="4" fillId="9" borderId="0" xfId="0" applyFont="1" applyFill="1" applyBorder="1" applyAlignment="1">
      <alignment horizontal="center" vertical="top" wrapText="1"/>
    </xf>
    <xf numFmtId="0" fontId="4" fillId="9" borderId="13" xfId="0" applyFont="1" applyFill="1" applyBorder="1" applyAlignment="1">
      <alignment horizontal="center" vertical="top" wrapText="1"/>
    </xf>
    <xf numFmtId="164" fontId="3" fillId="11" borderId="3" xfId="15" applyNumberFormat="1" applyFont="1" applyFill="1" applyBorder="1" applyAlignment="1">
      <alignment horizontal="center"/>
      <protection/>
    </xf>
    <xf numFmtId="164" fontId="3" fillId="11" borderId="17" xfId="15" applyNumberFormat="1" applyFont="1" applyFill="1" applyBorder="1" applyAlignment="1">
      <alignment horizontal="center"/>
      <protection/>
    </xf>
    <xf numFmtId="164" fontId="3" fillId="11" borderId="20" xfId="15" applyNumberFormat="1" applyFont="1" applyFill="1" applyBorder="1" applyAlignment="1">
      <alignment horizontal="center"/>
      <protection/>
    </xf>
    <xf numFmtId="0" fontId="3" fillId="10" borderId="4" xfId="0" applyFont="1" applyFill="1" applyBorder="1" applyAlignment="1">
      <alignment horizontal="center"/>
    </xf>
    <xf numFmtId="0" fontId="3" fillId="10" borderId="30" xfId="0" applyFont="1" applyFill="1" applyBorder="1" applyAlignment="1">
      <alignment horizontal="center"/>
    </xf>
    <xf numFmtId="0" fontId="3" fillId="10" borderId="31" xfId="0" applyFont="1" applyFill="1" applyBorder="1" applyAlignment="1">
      <alignment horizontal="center"/>
    </xf>
    <xf numFmtId="0" fontId="3" fillId="11" borderId="4" xfId="0" applyFont="1" applyFill="1" applyBorder="1" applyAlignment="1">
      <alignment horizontal="center" wrapText="1"/>
    </xf>
    <xf numFmtId="0" fontId="3" fillId="11" borderId="30" xfId="0" applyFont="1" applyFill="1" applyBorder="1" applyAlignment="1">
      <alignment horizontal="center" wrapText="1"/>
    </xf>
    <xf numFmtId="0" fontId="3" fillId="11" borderId="31" xfId="0" applyFont="1" applyFill="1" applyBorder="1" applyAlignment="1">
      <alignment horizontal="center" wrapText="1"/>
    </xf>
    <xf numFmtId="0" fontId="5" fillId="3" borderId="0" xfId="0" applyFont="1" applyFill="1" applyBorder="1" applyAlignment="1">
      <alignment horizontal="right" vertical="center" wrapText="1"/>
    </xf>
    <xf numFmtId="0" fontId="17" fillId="0" borderId="1" xfId="0" applyFont="1" applyBorder="1"/>
    <xf numFmtId="0" fontId="31" fillId="2" borderId="0" xfId="0" applyFont="1" applyFill="1" applyBorder="1" applyAlignment="1">
      <alignment horizontal="center" vertical="top" wrapText="1"/>
    </xf>
    <xf numFmtId="0" fontId="31" fillId="2" borderId="13" xfId="0" applyFont="1" applyFill="1" applyBorder="1" applyAlignment="1">
      <alignment horizontal="center" vertical="top" wrapText="1"/>
    </xf>
    <xf numFmtId="6" fontId="32" fillId="2" borderId="0" xfId="0" applyNumberFormat="1" applyFont="1" applyFill="1" applyBorder="1" applyAlignment="1">
      <alignment horizontal="center" vertical="top" wrapText="1"/>
    </xf>
    <xf numFmtId="0" fontId="32" fillId="2" borderId="0" xfId="0" applyFont="1" applyFill="1" applyBorder="1" applyAlignment="1">
      <alignment horizontal="center" vertical="top" wrapText="1"/>
    </xf>
    <xf numFmtId="0" fontId="32" fillId="2" borderId="13" xfId="0" applyFont="1" applyFill="1" applyBorder="1" applyAlignment="1">
      <alignment horizontal="center" vertical="top" wrapText="1"/>
    </xf>
    <xf numFmtId="164" fontId="3" fillId="10" borderId="3" xfId="15" applyNumberFormat="1" applyFont="1" applyFill="1" applyBorder="1" applyAlignment="1">
      <alignment horizontal="center"/>
      <protection/>
    </xf>
    <xf numFmtId="164" fontId="3" fillId="10" borderId="17" xfId="15" applyNumberFormat="1" applyFont="1" applyFill="1" applyBorder="1" applyAlignment="1">
      <alignment horizontal="center"/>
      <protection/>
    </xf>
    <xf numFmtId="164" fontId="3" fillId="10" borderId="20" xfId="15" applyNumberFormat="1" applyFont="1" applyFill="1" applyBorder="1" applyAlignment="1">
      <alignment horizontal="center"/>
      <protection/>
    </xf>
    <xf numFmtId="164" fontId="4" fillId="8" borderId="1" xfId="15" applyNumberFormat="1" applyFont="1" applyFill="1" applyBorder="1" applyAlignment="1">
      <alignment horizontal="center" vertical="top" wrapText="1"/>
      <protection/>
    </xf>
    <xf numFmtId="164" fontId="4" fillId="8" borderId="0" xfId="15" applyNumberFormat="1" applyFont="1" applyFill="1" applyBorder="1" applyAlignment="1">
      <alignment horizontal="center" vertical="top" wrapText="1"/>
      <protection/>
    </xf>
    <xf numFmtId="164" fontId="4" fillId="8" borderId="13" xfId="15" applyNumberFormat="1" applyFont="1" applyFill="1" applyBorder="1" applyAlignment="1">
      <alignment horizontal="center" vertical="top" wrapText="1"/>
      <protection/>
    </xf>
    <xf numFmtId="164" fontId="4" fillId="8" borderId="2" xfId="15" applyNumberFormat="1" applyFont="1" applyFill="1" applyBorder="1" applyAlignment="1">
      <alignment horizontal="center" vertical="top" wrapText="1"/>
      <protection/>
    </xf>
    <xf numFmtId="164" fontId="4" fillId="8" borderId="11" xfId="15" applyNumberFormat="1" applyFont="1" applyFill="1" applyBorder="1" applyAlignment="1">
      <alignment horizontal="center" vertical="top" wrapText="1"/>
      <protection/>
    </xf>
    <xf numFmtId="164" fontId="4" fillId="8" borderId="12" xfId="15" applyNumberFormat="1" applyFont="1" applyFill="1" applyBorder="1" applyAlignment="1">
      <alignment horizontal="center" vertical="top" wrapText="1"/>
      <protection/>
    </xf>
  </cellXfs>
  <cellStyles count="7">
    <cellStyle name="Normal" xfId="0"/>
    <cellStyle name="Percent" xfId="15"/>
    <cellStyle name="Currency" xfId="16"/>
    <cellStyle name="Currency [0]" xfId="17"/>
    <cellStyle name="Comma" xfId="18"/>
    <cellStyle name="Comma [0]" xfId="19"/>
    <cellStyle name="Normal 2" xfId="20"/>
  </cellStyles>
  <dxfs count="61">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i val="0"/>
        <color rgb="FF00B050"/>
      </font>
    </dxf>
    <dxf>
      <font>
        <b/>
        <i val="0"/>
        <color rgb="FFFF0000"/>
      </font>
    </dxf>
    <dxf>
      <font>
        <color theme="0"/>
      </font>
      <fill>
        <patternFill>
          <bgColor theme="1"/>
        </patternFill>
      </fill>
    </dxf>
    <dxf>
      <font>
        <b val="0"/>
        <i val="0"/>
        <color theme="0" tint="-0.249939993023872"/>
      </font>
    </dxf>
    <dxf>
      <font>
        <b val="0"/>
        <i/>
        <color theme="5" tint="0.599960029125214"/>
      </font>
    </dxf>
    <dxf>
      <font>
        <b/>
        <i val="0"/>
        <color rgb="FF00B050"/>
      </font>
    </dxf>
    <dxf>
      <font>
        <b/>
        <i val="0"/>
        <color rgb="FFFF0000"/>
      </font>
    </dxf>
    <dxf>
      <font>
        <color theme="0"/>
      </font>
      <fill>
        <patternFill>
          <bgColor theme="1"/>
        </patternFill>
      </fill>
    </dxf>
    <dxf>
      <font>
        <b/>
        <i val="0"/>
        <color rgb="FFFF0000"/>
      </font>
    </dxf>
    <dxf>
      <font>
        <b/>
        <i val="0"/>
        <color rgb="FF00B050"/>
      </font>
    </dxf>
    <dxf>
      <font>
        <b val="0"/>
        <i val="0"/>
        <color theme="0" tint="-0.249939993023872"/>
      </font>
    </dxf>
    <dxf>
      <font>
        <b val="0"/>
        <i/>
        <color theme="5" tint="0.599960029125214"/>
      </font>
    </dxf>
    <dxf>
      <font>
        <b val="0"/>
        <i val="0"/>
        <color theme="0" tint="-0.249939993023872"/>
      </font>
    </dxf>
    <dxf>
      <font>
        <b val="0"/>
        <i/>
        <color theme="5" tint="0.599960029125214"/>
      </font>
    </dxf>
    <dxf>
      <font>
        <b/>
        <i val="0"/>
        <color rgb="FF00B050"/>
      </font>
    </dxf>
    <dxf>
      <font>
        <b/>
        <i val="0"/>
        <color rgb="FFFF0000"/>
      </font>
    </dxf>
    <dxf>
      <font>
        <color theme="0"/>
      </font>
      <fill>
        <patternFill>
          <bgColor theme="1"/>
        </patternFill>
      </fill>
    </dxf>
    <dxf>
      <font>
        <b/>
        <i val="0"/>
        <color rgb="FFFF0000"/>
      </font>
    </dxf>
    <dxf>
      <font>
        <b/>
        <i val="0"/>
        <color rgb="FF00B05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styles" Target="styles.xml" /><Relationship Id="rId4" Type="http://schemas.openxmlformats.org/officeDocument/2006/relationships/sharedStrings" Target="sharedStrings.xml" /><Relationship Id="rId5" Type="http://schemas.openxmlformats.org/officeDocument/2006/relationships/theme" Target="theme/theme1.xml" /><Relationship Id="rId6" Type="http://schemas.openxmlformats.org/officeDocument/2006/relationships/externalLink" Target="externalLinks/externalLink1.xml" /><Relationship Id="rId7" Type="http://schemas.openxmlformats.org/officeDocument/2006/relationships/customXml" Target="../customXml/item1.xml" /><Relationship Id="rId8" Type="http://schemas.openxmlformats.org/officeDocument/2006/relationships/customXml" Target="../customXml/item2.xml" /><Relationship Id="rId9" Type="http://schemas.openxmlformats.org/officeDocument/2006/relationships/customXml" Target="../customXml/item3.xml" /><Relationship Id="rId10" Type="http://schemas.openxmlformats.org/officeDocument/2006/relationships/customXml" Target="../customXml/item5.xml" /><Relationship Id="rId11" Type="http://schemas.openxmlformats.org/officeDocument/2006/relationships/customXml" Target="../customXml/item4.xml" /></Relationships>
</file>

<file path=xl/externalLinks/_rels/externalLink1.xml.rels><?xml version="1.0" encoding="utf-8" standalone="yes"?><Relationships xmlns="http://schemas.openxmlformats.org/package/2006/relationships"><Relationship Id="rId1" Type="http://schemas.openxmlformats.org/officeDocument/2006/relationships/externalLinkPath" Target="No_Limit_Leakage_Export.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Leakage Tree Data"/>
    </sheetNames>
    <sheetDataSet>
      <sheetData sheetId="0">
        <row r="1">
          <cell r="A1" t="str">
            <v>No_Limit_Leakage_Export</v>
          </cell>
        </row>
        <row r="2">
          <cell r="A2" t="str">
            <v>Geography 2 : Total US - Target Corporate</v>
          </cell>
        </row>
        <row r="3">
          <cell r="A3" t="str">
            <v>Time : Latest 52 Weeks Ending Jan-24-2016</v>
          </cell>
        </row>
        <row r="4">
          <cell r="A4" t="str">
            <v>Product : AISLE-LAUNDRY</v>
          </cell>
        </row>
        <row r="5">
          <cell r="A5" t="str">
            <v>HH Demo Summary : All HH Income Per Capita</v>
          </cell>
        </row>
        <row r="6">
          <cell r="A6" t="str">
            <v>Trip Mission : All Trip Missions</v>
          </cell>
        </row>
        <row r="7">
          <cell r="A7" t="str">
            <v>Parent Company : Total (Unfiltered)</v>
          </cell>
        </row>
        <row r="8">
          <cell r="A8" t="str">
            <v>Geography</v>
          </cell>
          <cell r="B8" t="str">
            <v>Current</v>
          </cell>
          <cell r="Q8" t="str">
            <v>Change vs YA</v>
          </cell>
        </row>
        <row r="9">
          <cell r="B9" t="str">
            <v>Same Outlet Parent Geography</v>
          </cell>
          <cell r="C9" t="str">
            <v>Segment HHs</v>
          </cell>
          <cell r="D9" t="str">
            <v>Retailer Shoppers</v>
          </cell>
          <cell r="E9" t="str">
            <v>% HHs Shopping</v>
          </cell>
          <cell r="F9" t="str">
            <v>HH Not Shopping</v>
          </cell>
          <cell r="G9" t="str">
            <v>% HH Not Shopping</v>
          </cell>
          <cell r="H9" t="str">
            <v>Anywhere Product Buyers (G2 Shoppers)</v>
          </cell>
          <cell r="I9" t="str">
            <v>Leakage Outlet Parent</v>
          </cell>
          <cell r="J9" t="str">
            <v>% All Outlet Buyers Unconverted (G2 Shoppers)</v>
          </cell>
          <cell r="K9" t="str">
            <v>Product Buyers (G2 Shoppers)</v>
          </cell>
          <cell r="L9" t="str">
            <v>Product Volume (G2 Converted Buyers)</v>
          </cell>
          <cell r="M9" t="str">
            <v>Product Volume (G2 Unconverted Buyers)</v>
          </cell>
          <cell r="N9" t="str">
            <v>Leakage Volume Captured (G2 Converted Buyers)</v>
          </cell>
          <cell r="O9" t="str">
            <v>% All Outlet Buyer Conversion Among Shoppers</v>
          </cell>
          <cell r="P9" t="str">
            <v>$ Opp 1 More Pt Buyer Conversion</v>
          </cell>
          <cell r="Q9" t="str">
            <v>Same Outlet Parent Geography</v>
          </cell>
          <cell r="R9" t="str">
            <v>Segment HHs</v>
          </cell>
          <cell r="S9" t="str">
            <v>Retailer Shoppers</v>
          </cell>
          <cell r="T9" t="str">
            <v>% HHs Shopping</v>
          </cell>
          <cell r="U9" t="str">
            <v>HH Not Shopping</v>
          </cell>
          <cell r="V9" t="str">
            <v>% HH Not Shopping</v>
          </cell>
          <cell r="W9" t="str">
            <v>Anywhere Product Buyers (G2 Shoppers)</v>
          </cell>
          <cell r="X9" t="str">
            <v>Leakage Outlet Parent</v>
          </cell>
          <cell r="Y9" t="str">
            <v>% All Outlet Buyers Unconverted (G2 Shoppers)</v>
          </cell>
          <cell r="Z9" t="str">
            <v>Product Buyers (G2 Shoppers)</v>
          </cell>
          <cell r="AA9" t="str">
            <v>Product Volume (G2 Converted Buyers)</v>
          </cell>
          <cell r="AB9" t="str">
            <v>Product Volume (G2 Unconverted Buyers)</v>
          </cell>
          <cell r="AC9" t="str">
            <v>Leakage Volume Captured (G2 Converted Buyers)</v>
          </cell>
          <cell r="AD9" t="str">
            <v>% All Outlet Buyer Conversion Among Shoppers</v>
          </cell>
          <cell r="AE9" t="str">
            <v>$ Opp 1 More Pt Buyer Conversion</v>
          </cell>
        </row>
        <row r="10">
          <cell r="A10" t="str">
            <v>Total US - Target Corporate</v>
          </cell>
          <cell r="B10" t="str">
            <v>Total US - MassX and SupercenterX</v>
          </cell>
          <cell r="C10">
            <v>121171760.292236</v>
          </cell>
          <cell r="D10">
            <v>67139996.1974487</v>
          </cell>
          <cell r="E10">
            <v>55.4089468004126</v>
          </cell>
          <cell r="F10">
            <v>54031764.0947876</v>
          </cell>
          <cell r="G10">
            <v>44.5910531995874</v>
          </cell>
          <cell r="H10">
            <v>61518209.9918823</v>
          </cell>
          <cell r="I10" t="str">
            <v>MassX and SupercenterX</v>
          </cell>
          <cell r="J10">
            <v>73.1552400555661</v>
          </cell>
          <cell r="K10">
            <v>16514415.7944336</v>
          </cell>
          <cell r="L10">
            <v>244721367.615505</v>
          </cell>
          <cell r="M10">
            <v>0</v>
          </cell>
          <cell r="N10">
            <v>0</v>
          </cell>
          <cell r="O10">
            <v>26.844759944434</v>
          </cell>
          <cell r="P10">
            <v>16876764.4116231</v>
          </cell>
          <cell r="Q10">
            <v>0</v>
          </cell>
          <cell r="R10">
            <v>1017625.85098267</v>
          </cell>
          <cell r="S10">
            <v>-1260400.19039917</v>
          </cell>
          <cell r="T10">
            <v>-1.51826315863424</v>
          </cell>
          <cell r="U10">
            <v>2278026.04138184</v>
          </cell>
          <cell r="V10">
            <v>1.51826315863424</v>
          </cell>
          <cell r="W10">
            <v>-1855949.2237854</v>
          </cell>
          <cell r="X10">
            <v>0</v>
          </cell>
          <cell r="Y10">
            <v>2.05894377096612</v>
          </cell>
          <cell r="Z10">
            <v>-1803063.41738892</v>
          </cell>
          <cell r="AA10">
            <v>-45103061.7511234</v>
          </cell>
          <cell r="AB10">
            <v>0</v>
          </cell>
          <cell r="AC10">
            <v>0</v>
          </cell>
          <cell r="AD10">
            <v>-2.05894377096612</v>
          </cell>
          <cell r="AE10">
            <v>0</v>
          </cell>
        </row>
        <row r="11">
          <cell r="A11" t="str">
            <v>Total US - All Outlets</v>
          </cell>
          <cell r="B11" t="str">
            <v>Total US - All Outlets</v>
          </cell>
          <cell r="C11">
            <v>121171760.292236</v>
          </cell>
          <cell r="D11">
            <v>121171760.292236</v>
          </cell>
          <cell r="E11">
            <v>100</v>
          </cell>
          <cell r="F11">
            <v>0</v>
          </cell>
          <cell r="G11">
            <v>0</v>
          </cell>
          <cell r="H11">
            <v>61518209.9918823</v>
          </cell>
          <cell r="I11" t="str">
            <v>All Outlets</v>
          </cell>
          <cell r="J11">
            <v>0</v>
          </cell>
          <cell r="K11">
            <v>61518209.9918823</v>
          </cell>
          <cell r="L11">
            <v>780900029.86931</v>
          </cell>
          <cell r="M11">
            <v>1805462067.56759</v>
          </cell>
          <cell r="N11">
            <v>536178662.253805</v>
          </cell>
          <cell r="O11">
            <v>100</v>
          </cell>
          <cell r="P11">
            <v>0</v>
          </cell>
          <cell r="Q11">
            <v>0</v>
          </cell>
          <cell r="R11">
            <v>1017625.85098267</v>
          </cell>
          <cell r="S11">
            <v>1017625.85098267</v>
          </cell>
          <cell r="T11">
            <v>0</v>
          </cell>
          <cell r="U11">
            <v>0</v>
          </cell>
          <cell r="V11">
            <v>0</v>
          </cell>
          <cell r="W11">
            <v>-1855949.2237854</v>
          </cell>
          <cell r="X11">
            <v>0</v>
          </cell>
          <cell r="Y11">
            <v>0</v>
          </cell>
          <cell r="Z11">
            <v>-1855949.2237854</v>
          </cell>
          <cell r="AA11">
            <v>-155231933.90303</v>
          </cell>
          <cell r="AB11">
            <v>-87366926.1142564</v>
          </cell>
          <cell r="AC11">
            <v>-110128872.151907</v>
          </cell>
          <cell r="AD11">
            <v>0</v>
          </cell>
          <cell r="AE11">
            <v>0</v>
          </cell>
        </row>
        <row r="12">
          <cell r="A12" t="str">
            <v>Total US - Club</v>
          </cell>
          <cell r="B12" t="str">
            <v>Total US - Club</v>
          </cell>
          <cell r="C12">
            <v>121171760.292236</v>
          </cell>
          <cell r="D12">
            <v>64718222.1340942</v>
          </cell>
          <cell r="E12">
            <v>53.4103176994457</v>
          </cell>
          <cell r="F12">
            <v>56453538.1581421</v>
          </cell>
          <cell r="G12">
            <v>46.5896823005543</v>
          </cell>
          <cell r="H12">
            <v>61518209.9918823</v>
          </cell>
          <cell r="I12" t="str">
            <v>Club</v>
          </cell>
          <cell r="J12">
            <v>71.9835231653734</v>
          </cell>
          <cell r="K12">
            <v>17235235.0514526</v>
          </cell>
          <cell r="L12">
            <v>125375169.562042</v>
          </cell>
          <cell r="M12">
            <v>425359948.164246</v>
          </cell>
          <cell r="N12">
            <v>125375169.562042</v>
          </cell>
          <cell r="O12">
            <v>43.5480660563332</v>
          </cell>
          <cell r="P12">
            <v>25285757.7107018</v>
          </cell>
          <cell r="Q12">
            <v>0</v>
          </cell>
          <cell r="R12">
            <v>1017625.85098267</v>
          </cell>
          <cell r="S12">
            <v>399802.228637695</v>
          </cell>
          <cell r="T12">
            <v>-0.119608844116883</v>
          </cell>
          <cell r="U12">
            <v>617823.622344971</v>
          </cell>
          <cell r="V12">
            <v>0.119608844116883</v>
          </cell>
          <cell r="W12">
            <v>-1855949.2237854</v>
          </cell>
          <cell r="X12">
            <v>0</v>
          </cell>
          <cell r="Y12">
            <v>-0.0717617079024819</v>
          </cell>
          <cell r="Z12">
            <v>-474493.205322266</v>
          </cell>
          <cell r="AA12">
            <v>-20949862.1638031</v>
          </cell>
          <cell r="AB12">
            <v>-13723169.0442581</v>
          </cell>
          <cell r="AC12">
            <v>-20949862.1638031</v>
          </cell>
          <cell r="AD12">
            <v>-0.247508380577806</v>
          </cell>
          <cell r="AE12">
            <v>0</v>
          </cell>
        </row>
        <row r="13">
          <cell r="A13" t="str">
            <v>Total US - BJs Wholesale</v>
          </cell>
          <cell r="B13" t="str">
            <v>Total US - Club</v>
          </cell>
          <cell r="C13">
            <v>121171760.292236</v>
          </cell>
          <cell r="D13">
            <v>10550518.0960083</v>
          </cell>
          <cell r="E13">
            <v>8.70707669061096</v>
          </cell>
          <cell r="F13">
            <v>110621242.196228</v>
          </cell>
          <cell r="G13">
            <v>91.292923309389</v>
          </cell>
          <cell r="H13">
            <v>61518209.9918823</v>
          </cell>
          <cell r="I13" t="str">
            <v>Club</v>
          </cell>
          <cell r="J13">
            <v>95.3848887399709</v>
          </cell>
          <cell r="K13">
            <v>2839133.83630371</v>
          </cell>
          <cell r="L13">
            <v>22749119.1530762</v>
          </cell>
          <cell r="M13">
            <v>74140217.3533936</v>
          </cell>
          <cell r="N13">
            <v>22749119.1530762</v>
          </cell>
          <cell r="O13">
            <v>43.9500707569037</v>
          </cell>
          <cell r="P13">
            <v>4708041.33283869</v>
          </cell>
          <cell r="Q13">
            <v>0</v>
          </cell>
          <cell r="R13">
            <v>1017625.85098267</v>
          </cell>
          <cell r="S13">
            <v>-50874.4582519531</v>
          </cell>
          <cell r="T13">
            <v>-0.116084163203466</v>
          </cell>
          <cell r="U13">
            <v>1068500.30923462</v>
          </cell>
          <cell r="V13">
            <v>0.116084163203467</v>
          </cell>
          <cell r="W13">
            <v>-1855949.2237854</v>
          </cell>
          <cell r="X13">
            <v>0</v>
          </cell>
          <cell r="Y13">
            <v>-0.162161077894723</v>
          </cell>
          <cell r="Z13">
            <v>17114.0980834961</v>
          </cell>
          <cell r="AA13">
            <v>2097095.86328125</v>
          </cell>
          <cell r="AB13">
            <v>1653952.54504395</v>
          </cell>
          <cell r="AC13">
            <v>2097095.86328125</v>
          </cell>
          <cell r="AD13">
            <v>1.09225598092273</v>
          </cell>
          <cell r="AE13">
            <v>0</v>
          </cell>
        </row>
        <row r="14">
          <cell r="A14" t="str">
            <v>Total US - Costco</v>
          </cell>
          <cell r="B14" t="str">
            <v>Total US - Club</v>
          </cell>
          <cell r="C14">
            <v>121171760.292236</v>
          </cell>
          <cell r="D14">
            <v>29920685.7605286</v>
          </cell>
          <cell r="E14">
            <v>24.6927878974171</v>
          </cell>
          <cell r="F14">
            <v>91251074.5317078</v>
          </cell>
          <cell r="G14">
            <v>75.3072121025829</v>
          </cell>
          <cell r="H14">
            <v>61518209.9918823</v>
          </cell>
          <cell r="I14" t="str">
            <v>Club</v>
          </cell>
          <cell r="J14">
            <v>85.8364609660613</v>
          </cell>
          <cell r="K14">
            <v>8713155.68518066</v>
          </cell>
          <cell r="L14">
            <v>63105851.6976624</v>
          </cell>
          <cell r="M14">
            <v>194160582.373535</v>
          </cell>
          <cell r="N14">
            <v>63105851.6976624</v>
          </cell>
          <cell r="O14">
            <v>45.2705308274127</v>
          </cell>
          <cell r="P14">
            <v>10563480.5454951</v>
          </cell>
          <cell r="Q14">
            <v>0</v>
          </cell>
          <cell r="R14">
            <v>1017625.85098267</v>
          </cell>
          <cell r="S14">
            <v>877609.887481689</v>
          </cell>
          <cell r="T14">
            <v>0.521271862530444</v>
          </cell>
          <cell r="U14">
            <v>140015.963500977</v>
          </cell>
          <cell r="V14">
            <v>-0.52127186253044</v>
          </cell>
          <cell r="W14">
            <v>-1855949.2237854</v>
          </cell>
          <cell r="X14">
            <v>0</v>
          </cell>
          <cell r="Y14">
            <v>-0.134644097630456</v>
          </cell>
          <cell r="Z14">
            <v>-177538.527954102</v>
          </cell>
          <cell r="AA14">
            <v>-9937280.11541748</v>
          </cell>
          <cell r="AB14">
            <v>-8769354.89709473</v>
          </cell>
          <cell r="AC14">
            <v>-9937280.11541748</v>
          </cell>
          <cell r="AD14">
            <v>-0.307677386399327</v>
          </cell>
          <cell r="AE14">
            <v>0</v>
          </cell>
        </row>
        <row r="15">
          <cell r="A15" t="str">
            <v>Total US - Sams Club</v>
          </cell>
          <cell r="B15" t="str">
            <v>Total US - Club</v>
          </cell>
          <cell r="C15">
            <v>121171760.292236</v>
          </cell>
          <cell r="D15">
            <v>32458116.1795349</v>
          </cell>
          <cell r="E15">
            <v>26.7868652739334</v>
          </cell>
          <cell r="F15">
            <v>88713644.1127014</v>
          </cell>
          <cell r="G15">
            <v>73.2131347260666</v>
          </cell>
          <cell r="H15">
            <v>61518209.9918823</v>
          </cell>
          <cell r="I15" t="str">
            <v>Club</v>
          </cell>
          <cell r="J15">
            <v>89.2701247388727</v>
          </cell>
          <cell r="K15">
            <v>6600827.19500732</v>
          </cell>
          <cell r="L15">
            <v>38842172.0863037</v>
          </cell>
          <cell r="M15">
            <v>155684875.385925</v>
          </cell>
          <cell r="N15">
            <v>38842172.0863037</v>
          </cell>
          <cell r="O15">
            <v>34.8462070860095</v>
          </cell>
          <cell r="P15">
            <v>11797985.6739397</v>
          </cell>
          <cell r="Q15">
            <v>0</v>
          </cell>
          <cell r="R15">
            <v>1017625.85098267</v>
          </cell>
          <cell r="S15">
            <v>102522.283081055</v>
          </cell>
          <cell r="T15">
            <v>-0.141541348872636</v>
          </cell>
          <cell r="U15">
            <v>915103.567901611</v>
          </cell>
          <cell r="V15">
            <v>0.141541348872636</v>
          </cell>
          <cell r="W15">
            <v>-1855949.2237854</v>
          </cell>
          <cell r="X15">
            <v>0</v>
          </cell>
          <cell r="Y15">
            <v>0.151305090729963</v>
          </cell>
          <cell r="Z15">
            <v>-295029.365722656</v>
          </cell>
          <cell r="AA15">
            <v>-12987639.8187714</v>
          </cell>
          <cell r="AB15">
            <v>-5246385.11656952</v>
          </cell>
          <cell r="AC15">
            <v>-12987639.8187714</v>
          </cell>
          <cell r="AD15">
            <v>-0.979013096716542</v>
          </cell>
          <cell r="AE15">
            <v>0</v>
          </cell>
        </row>
        <row r="16">
          <cell r="A16" t="str">
            <v>Total US - Convenience-Gas</v>
          </cell>
          <cell r="B16" t="str">
            <v>Total US - Convenience-Gas</v>
          </cell>
          <cell r="C16">
            <v>121171760.292236</v>
          </cell>
          <cell r="D16">
            <v>40270059.2756653</v>
          </cell>
          <cell r="E16">
            <v>33.2338650346779</v>
          </cell>
          <cell r="F16">
            <v>80901701.016571</v>
          </cell>
          <cell r="G16">
            <v>66.7661349653221</v>
          </cell>
          <cell r="H16">
            <v>61518209.9918823</v>
          </cell>
          <cell r="I16" t="str">
            <v>Convenience-Gas</v>
          </cell>
          <cell r="J16">
            <v>99.6400697654541</v>
          </cell>
          <cell r="K16">
            <v>221422.637512207</v>
          </cell>
          <cell r="L16">
            <v>0</v>
          </cell>
          <cell r="M16">
            <v>1749131.12713623</v>
          </cell>
          <cell r="N16">
            <v>0</v>
          </cell>
          <cell r="O16">
            <v>1.28441904241364</v>
          </cell>
          <cell r="P16">
            <v>4097979.96039629</v>
          </cell>
          <cell r="Q16">
            <v>0</v>
          </cell>
          <cell r="R16">
            <v>1017625.85098267</v>
          </cell>
          <cell r="S16">
            <v>-1110224.92175293</v>
          </cell>
          <cell r="T16">
            <v>-1.20546940008516</v>
          </cell>
          <cell r="U16">
            <v>2127850.7727356</v>
          </cell>
          <cell r="V16">
            <v>1.20546940008515</v>
          </cell>
          <cell r="W16">
            <v>-1855949.2237854</v>
          </cell>
          <cell r="X16">
            <v>0</v>
          </cell>
          <cell r="Y16">
            <v>0.0660578936335696</v>
          </cell>
          <cell r="Z16">
            <v>-48543.7570800781</v>
          </cell>
          <cell r="AA16">
            <v>0</v>
          </cell>
          <cell r="AB16">
            <v>-87018.6100444794</v>
          </cell>
          <cell r="AC16">
            <v>0</v>
          </cell>
          <cell r="AD16">
            <v>-0.244689680141233</v>
          </cell>
          <cell r="AE16">
            <v>0</v>
          </cell>
        </row>
        <row r="17">
          <cell r="A17" t="str">
            <v>Total US - Dollar</v>
          </cell>
          <cell r="B17" t="str">
            <v>Total US - Dollar</v>
          </cell>
          <cell r="C17">
            <v>121171760.292236</v>
          </cell>
          <cell r="D17">
            <v>78403198.1786499</v>
          </cell>
          <cell r="E17">
            <v>64.7041835404229</v>
          </cell>
          <cell r="F17">
            <v>42768562.1135864</v>
          </cell>
          <cell r="G17">
            <v>35.2958164595771</v>
          </cell>
          <cell r="H17">
            <v>61518209.9918823</v>
          </cell>
          <cell r="I17" t="str">
            <v>Dollar</v>
          </cell>
          <cell r="J17">
            <v>83.4657380486263</v>
          </cell>
          <cell r="K17">
            <v>10171581.987854</v>
          </cell>
          <cell r="L17">
            <v>27101147.6429348</v>
          </cell>
          <cell r="M17">
            <v>118574240.317994</v>
          </cell>
          <cell r="N17">
            <v>27101147.6429348</v>
          </cell>
          <cell r="O17">
            <v>29.9296720642789</v>
          </cell>
          <cell r="P17">
            <v>10548756.8955577</v>
          </cell>
          <cell r="Q17">
            <v>0</v>
          </cell>
          <cell r="R17">
            <v>1017625.85098267</v>
          </cell>
          <cell r="S17">
            <v>505171.233154297</v>
          </cell>
          <cell r="T17">
            <v>-0.127565535662228</v>
          </cell>
          <cell r="U17">
            <v>512454.617828369</v>
          </cell>
          <cell r="V17">
            <v>0.127565535662228</v>
          </cell>
          <cell r="W17">
            <v>-1855949.2237854</v>
          </cell>
          <cell r="X17">
            <v>0</v>
          </cell>
          <cell r="Y17">
            <v>-0.397488347905764</v>
          </cell>
          <cell r="Z17">
            <v>-54962.6078796387</v>
          </cell>
          <cell r="AA17">
            <v>-3309982.44059181</v>
          </cell>
          <cell r="AB17">
            <v>-8054727.41242504</v>
          </cell>
          <cell r="AC17">
            <v>-3309982.44059181</v>
          </cell>
          <cell r="AD17">
            <v>-0.589955134021743</v>
          </cell>
          <cell r="AE17">
            <v>0</v>
          </cell>
        </row>
        <row r="18">
          <cell r="A18" t="str">
            <v>Total US - Deals Dollar Store</v>
          </cell>
          <cell r="B18" t="str">
            <v>Total US - Dollar</v>
          </cell>
          <cell r="C18">
            <v>121171760.292236</v>
          </cell>
          <cell r="D18">
            <v>2813408.28234863</v>
          </cell>
          <cell r="E18">
            <v>2.32183495194209</v>
          </cell>
          <cell r="F18">
            <v>118358352.009888</v>
          </cell>
          <cell r="G18">
            <v>97.6781650480579</v>
          </cell>
          <cell r="H18">
            <v>61518209.9918823</v>
          </cell>
          <cell r="I18" t="str">
            <v>Dollar</v>
          </cell>
          <cell r="J18">
            <v>99.717800108221</v>
          </cell>
          <cell r="K18">
            <v>173604.322021484</v>
          </cell>
          <cell r="L18">
            <v>0</v>
          </cell>
          <cell r="M18">
            <v>1373945.76435852</v>
          </cell>
          <cell r="N18">
            <v>0</v>
          </cell>
          <cell r="O18">
            <v>10.8788879221134</v>
          </cell>
          <cell r="P18">
            <v>180958.162127344</v>
          </cell>
          <cell r="Q18">
            <v>0</v>
          </cell>
          <cell r="R18">
            <v>1017625.85098267</v>
          </cell>
          <cell r="S18">
            <v>-157296.78503418</v>
          </cell>
          <cell r="T18">
            <v>-0.150576905708352</v>
          </cell>
          <cell r="U18">
            <v>1174922.63601685</v>
          </cell>
          <cell r="V18">
            <v>0.150576905708348</v>
          </cell>
          <cell r="W18">
            <v>-1855949.2237854</v>
          </cell>
          <cell r="X18">
            <v>0</v>
          </cell>
          <cell r="Y18">
            <v>0.0195322569514502</v>
          </cell>
          <cell r="Z18">
            <v>-17615.8903198242</v>
          </cell>
          <cell r="AA18">
            <v>0</v>
          </cell>
          <cell r="AB18">
            <v>98119.960647583</v>
          </cell>
          <cell r="AC18">
            <v>0</v>
          </cell>
          <cell r="AD18">
            <v>-1.47437306324709</v>
          </cell>
          <cell r="AE18">
            <v>0</v>
          </cell>
        </row>
        <row r="19">
          <cell r="A19" t="str">
            <v>Total US - Doll Gen / Doll Gen Mkt</v>
          </cell>
          <cell r="B19" t="str">
            <v>Total US - Dollar</v>
          </cell>
          <cell r="C19">
            <v>121171760.292236</v>
          </cell>
          <cell r="D19">
            <v>34359367.4581299</v>
          </cell>
          <cell r="E19">
            <v>28.355920038847</v>
          </cell>
          <cell r="F19">
            <v>86812392.8341064</v>
          </cell>
          <cell r="G19">
            <v>71.644079961153</v>
          </cell>
          <cell r="H19">
            <v>61518209.9918823</v>
          </cell>
          <cell r="I19" t="str">
            <v>Dollar</v>
          </cell>
          <cell r="J19">
            <v>93.3024991728619</v>
          </cell>
          <cell r="K19">
            <v>4120182.62304688</v>
          </cell>
          <cell r="L19">
            <v>11256588.6043549</v>
          </cell>
          <cell r="M19">
            <v>44822145.5847273</v>
          </cell>
          <cell r="N19">
            <v>11256588.6043549</v>
          </cell>
          <cell r="O19">
            <v>31.7018037894759</v>
          </cell>
          <cell r="P19">
            <v>5338875.12607305</v>
          </cell>
          <cell r="Q19">
            <v>0</v>
          </cell>
          <cell r="R19">
            <v>1017625.85098267</v>
          </cell>
          <cell r="S19">
            <v>353762.027618408</v>
          </cell>
          <cell r="T19">
            <v>0.0542676748680755</v>
          </cell>
          <cell r="U19">
            <v>663863.823364258</v>
          </cell>
          <cell r="V19">
            <v>-0.0542676748680719</v>
          </cell>
          <cell r="W19">
            <v>-1855949.2237854</v>
          </cell>
          <cell r="X19">
            <v>0</v>
          </cell>
          <cell r="Y19">
            <v>0.0399497607713784</v>
          </cell>
          <cell r="Z19">
            <v>-149620.039611816</v>
          </cell>
          <cell r="AA19">
            <v>-1950415.36185837</v>
          </cell>
          <cell r="AB19">
            <v>-4112114.4050703</v>
          </cell>
          <cell r="AC19">
            <v>-1950415.36185837</v>
          </cell>
          <cell r="AD19">
            <v>-1.33633850243688</v>
          </cell>
          <cell r="AE19">
            <v>0</v>
          </cell>
        </row>
        <row r="20">
          <cell r="A20" t="str">
            <v>Total US - Dollar Tree</v>
          </cell>
          <cell r="B20" t="str">
            <v>Total US - Dollar</v>
          </cell>
          <cell r="C20">
            <v>121171760.292236</v>
          </cell>
          <cell r="D20">
            <v>55606875.5343628</v>
          </cell>
          <cell r="E20">
            <v>45.89095297473</v>
          </cell>
          <cell r="F20">
            <v>65564884.7578735</v>
          </cell>
          <cell r="G20">
            <v>54.10904702527</v>
          </cell>
          <cell r="H20">
            <v>61518209.9918823</v>
          </cell>
          <cell r="I20" t="str">
            <v>Dollar</v>
          </cell>
          <cell r="J20">
            <v>93.8526057956329</v>
          </cell>
          <cell r="K20">
            <v>3781766.87567139</v>
          </cell>
          <cell r="L20">
            <v>4997860.17578888</v>
          </cell>
          <cell r="M20">
            <v>26015682.6169662</v>
          </cell>
          <cell r="N20">
            <v>4997860.17578888</v>
          </cell>
          <cell r="O20">
            <v>13.9915811095724</v>
          </cell>
          <cell r="P20">
            <v>2168831.56614388</v>
          </cell>
          <cell r="Q20">
            <v>0</v>
          </cell>
          <cell r="R20">
            <v>1017625.85098267</v>
          </cell>
          <cell r="S20">
            <v>1635122.82543945</v>
          </cell>
          <cell r="T20">
            <v>0.972188456217815</v>
          </cell>
          <cell r="U20">
            <v>-617496.974456787</v>
          </cell>
          <cell r="V20">
            <v>-0.972188456217815</v>
          </cell>
          <cell r="W20">
            <v>-1855949.2237854</v>
          </cell>
          <cell r="X20">
            <v>0</v>
          </cell>
          <cell r="Y20">
            <v>-0.488155537513876</v>
          </cell>
          <cell r="Z20">
            <v>195271.952545166</v>
          </cell>
          <cell r="AA20">
            <v>741427.453025818</v>
          </cell>
          <cell r="AB20">
            <v>-4095770.45410919</v>
          </cell>
          <cell r="AC20">
            <v>741427.453025818</v>
          </cell>
          <cell r="AD20">
            <v>0.460644864713542</v>
          </cell>
          <cell r="AE20">
            <v>0</v>
          </cell>
        </row>
        <row r="21">
          <cell r="A21" t="str">
            <v>Total US - Family Dollar</v>
          </cell>
          <cell r="B21" t="str">
            <v>Total US - Dollar</v>
          </cell>
          <cell r="C21">
            <v>121171760.292236</v>
          </cell>
          <cell r="D21">
            <v>21507291.3281555</v>
          </cell>
          <cell r="E21">
            <v>17.7494255066405</v>
          </cell>
          <cell r="F21">
            <v>99664468.9640808</v>
          </cell>
          <cell r="G21">
            <v>82.2505744933595</v>
          </cell>
          <cell r="H21">
            <v>61518209.9918823</v>
          </cell>
          <cell r="I21" t="str">
            <v>Dollar</v>
          </cell>
          <cell r="J21">
            <v>95.6082771162153</v>
          </cell>
          <cell r="K21">
            <v>2701709.3059082</v>
          </cell>
          <cell r="L21">
            <v>7555923.94790649</v>
          </cell>
          <cell r="M21">
            <v>32826501.4282379</v>
          </cell>
          <cell r="N21">
            <v>7555923.94790649</v>
          </cell>
          <cell r="O21">
            <v>29.7851277683145</v>
          </cell>
          <cell r="P21">
            <v>3032496.80981623</v>
          </cell>
          <cell r="Q21">
            <v>0</v>
          </cell>
          <cell r="R21">
            <v>1017625.85098267</v>
          </cell>
          <cell r="S21">
            <v>-1782013.96429443</v>
          </cell>
          <cell r="T21">
            <v>-1.63343252046853</v>
          </cell>
          <cell r="U21">
            <v>2799639.8152771</v>
          </cell>
          <cell r="V21">
            <v>1.63343252046853</v>
          </cell>
          <cell r="W21">
            <v>-1855949.2237854</v>
          </cell>
          <cell r="X21">
            <v>0</v>
          </cell>
          <cell r="Y21">
            <v>-0.0423312521209738</v>
          </cell>
          <cell r="Z21">
            <v>-54681.0716552734</v>
          </cell>
          <cell r="AA21">
            <v>-1194081.80111694</v>
          </cell>
          <cell r="AB21">
            <v>728515.619537354</v>
          </cell>
          <cell r="AC21">
            <v>-1194081.80111694</v>
          </cell>
          <cell r="AD21">
            <v>1.47982082920601</v>
          </cell>
          <cell r="AE21">
            <v>0</v>
          </cell>
        </row>
        <row r="22">
          <cell r="A22" t="str">
            <v>Total US - Five Below</v>
          </cell>
          <cell r="B22" t="str">
            <v>Total US - Dollar</v>
          </cell>
          <cell r="C22">
            <v>121171760.292236</v>
          </cell>
          <cell r="D22">
            <v>6676053.25598145</v>
          </cell>
          <cell r="E22">
            <v>5.50957850235109</v>
          </cell>
          <cell r="F22">
            <v>114495707.036255</v>
          </cell>
          <cell r="G22">
            <v>94.4904214976489</v>
          </cell>
          <cell r="H22">
            <v>61518209.9918823</v>
          </cell>
          <cell r="I22" t="str">
            <v>Dollar</v>
          </cell>
          <cell r="J22">
            <v>0</v>
          </cell>
          <cell r="K22">
            <v>0</v>
          </cell>
          <cell r="L22">
            <v>0</v>
          </cell>
          <cell r="M22">
            <v>0</v>
          </cell>
          <cell r="N22">
            <v>0</v>
          </cell>
          <cell r="O22">
            <v>0</v>
          </cell>
          <cell r="P22">
            <v>0</v>
          </cell>
          <cell r="Q22">
            <v>0</v>
          </cell>
          <cell r="R22">
            <v>1017625.85098267</v>
          </cell>
          <cell r="S22">
            <v>1025769.99578857</v>
          </cell>
          <cell r="T22">
            <v>0.807049299783003</v>
          </cell>
          <cell r="U22">
            <v>-8144.1448059082</v>
          </cell>
          <cell r="V22">
            <v>-0.807049299783003</v>
          </cell>
          <cell r="W22">
            <v>-1855949.2237854</v>
          </cell>
          <cell r="X22">
            <v>0</v>
          </cell>
          <cell r="Y22">
            <v>0</v>
          </cell>
          <cell r="Z22">
            <v>0</v>
          </cell>
          <cell r="AA22">
            <v>0</v>
          </cell>
          <cell r="AB22">
            <v>0</v>
          </cell>
          <cell r="AC22">
            <v>0</v>
          </cell>
          <cell r="AD22">
            <v>0</v>
          </cell>
          <cell r="AE22">
            <v>0</v>
          </cell>
        </row>
        <row r="23">
          <cell r="A23" t="str">
            <v>Total US - Freds</v>
          </cell>
          <cell r="B23" t="str">
            <v>Total US - Dollar</v>
          </cell>
          <cell r="C23">
            <v>121171760.292236</v>
          </cell>
          <cell r="D23">
            <v>2989745.1673584</v>
          </cell>
          <cell r="E23">
            <v>2.46736133910069</v>
          </cell>
          <cell r="F23">
            <v>118182015.124878</v>
          </cell>
          <cell r="G23">
            <v>97.5326386608993</v>
          </cell>
          <cell r="H23">
            <v>61518209.9918823</v>
          </cell>
          <cell r="I23" t="str">
            <v>Dollar</v>
          </cell>
          <cell r="J23">
            <v>99.7729419671118</v>
          </cell>
          <cell r="K23">
            <v>139682.037475586</v>
          </cell>
          <cell r="L23">
            <v>0</v>
          </cell>
          <cell r="M23">
            <v>1679615.16461182</v>
          </cell>
          <cell r="N23">
            <v>0</v>
          </cell>
          <cell r="O23">
            <v>23.5763353812861</v>
          </cell>
          <cell r="P23">
            <v>473867.530391531</v>
          </cell>
          <cell r="Q23">
            <v>0</v>
          </cell>
          <cell r="R23">
            <v>1017625.85098267</v>
          </cell>
          <cell r="S23">
            <v>-554478.842773438</v>
          </cell>
          <cell r="T23">
            <v>-0.482369876236471</v>
          </cell>
          <cell r="U23">
            <v>1572104.6937561</v>
          </cell>
          <cell r="V23">
            <v>0.482369876236461</v>
          </cell>
          <cell r="W23">
            <v>-1855949.2237854</v>
          </cell>
          <cell r="X23">
            <v>0</v>
          </cell>
          <cell r="Y23">
            <v>0.191154472744813</v>
          </cell>
          <cell r="Z23">
            <v>-125356.621704102</v>
          </cell>
          <cell r="AA23">
            <v>0</v>
          </cell>
          <cell r="AB23">
            <v>-314224.443099976</v>
          </cell>
          <cell r="AC23">
            <v>0</v>
          </cell>
          <cell r="AD23">
            <v>-4.62077726492975</v>
          </cell>
          <cell r="AE23">
            <v>0</v>
          </cell>
        </row>
        <row r="24">
          <cell r="A24" t="str">
            <v>Total US - Ninetynine Cents</v>
          </cell>
          <cell r="B24" t="str">
            <v>Total US - Dollar</v>
          </cell>
          <cell r="C24">
            <v>121171760.292236</v>
          </cell>
          <cell r="D24">
            <v>6260447.05426025</v>
          </cell>
          <cell r="E24">
            <v>5.16658917817287</v>
          </cell>
          <cell r="F24">
            <v>114911313.237976</v>
          </cell>
          <cell r="G24">
            <v>94.8334108218271</v>
          </cell>
          <cell r="H24">
            <v>61518209.9918823</v>
          </cell>
          <cell r="I24" t="str">
            <v>Dollar</v>
          </cell>
          <cell r="J24">
            <v>98.4184052676352</v>
          </cell>
          <cell r="K24">
            <v>972968.768676758</v>
          </cell>
          <cell r="L24">
            <v>2546034.38015747</v>
          </cell>
          <cell r="M24">
            <v>9579031.14065552</v>
          </cell>
          <cell r="N24">
            <v>2546034.38015747</v>
          </cell>
          <cell r="O24">
            <v>24.1367721905013</v>
          </cell>
          <cell r="P24">
            <v>259979.413049341</v>
          </cell>
          <cell r="Q24">
            <v>0</v>
          </cell>
          <cell r="R24">
            <v>1017625.85098267</v>
          </cell>
          <cell r="S24">
            <v>-140504.197479248</v>
          </cell>
          <cell r="T24">
            <v>-0.160694216198452</v>
          </cell>
          <cell r="U24">
            <v>1158130.04846191</v>
          </cell>
          <cell r="V24">
            <v>0.160694216198451</v>
          </cell>
          <cell r="W24">
            <v>-1855949.2237854</v>
          </cell>
          <cell r="X24">
            <v>0</v>
          </cell>
          <cell r="Y24">
            <v>-0.100202590240457</v>
          </cell>
          <cell r="Z24">
            <v>34148.953918457</v>
          </cell>
          <cell r="AA24">
            <v>376966.094543457</v>
          </cell>
          <cell r="AB24">
            <v>628935.302200317</v>
          </cell>
          <cell r="AC24">
            <v>376966.094543457</v>
          </cell>
          <cell r="AD24">
            <v>1.26489280518662</v>
          </cell>
          <cell r="AE24">
            <v>0</v>
          </cell>
        </row>
        <row r="25">
          <cell r="A25" t="str">
            <v>Total US - Your Dollar Store w/ More</v>
          </cell>
          <cell r="B25" t="str">
            <v>Total US - Dollar</v>
          </cell>
          <cell r="C25">
            <v>121171760.292236</v>
          </cell>
          <cell r="D25">
            <v>1234525.25256348</v>
          </cell>
          <cell r="E25">
            <v>1.01882257845071</v>
          </cell>
          <cell r="F25">
            <v>119937235.039673</v>
          </cell>
          <cell r="G25">
            <v>98.9811774215493</v>
          </cell>
          <cell r="H25">
            <v>61518209.9918823</v>
          </cell>
          <cell r="I25" t="str">
            <v>Dollar</v>
          </cell>
          <cell r="J25">
            <v>0</v>
          </cell>
          <cell r="K25">
            <v>0</v>
          </cell>
          <cell r="L25">
            <v>0</v>
          </cell>
          <cell r="M25">
            <v>0</v>
          </cell>
          <cell r="N25">
            <v>0</v>
          </cell>
          <cell r="O25">
            <v>13.0049779449398</v>
          </cell>
          <cell r="P25">
            <v>113015.684855986</v>
          </cell>
          <cell r="Q25">
            <v>0</v>
          </cell>
          <cell r="R25">
            <v>1017625.85098267</v>
          </cell>
          <cell r="S25">
            <v>-242116.871002197</v>
          </cell>
          <cell r="T25">
            <v>-0.21013398674151</v>
          </cell>
          <cell r="U25">
            <v>1259742.72198486</v>
          </cell>
          <cell r="V25">
            <v>0.210133986741511</v>
          </cell>
          <cell r="W25">
            <v>-1855949.2237854</v>
          </cell>
          <cell r="X25">
            <v>0</v>
          </cell>
          <cell r="Y25">
            <v>0</v>
          </cell>
          <cell r="Z25">
            <v>0</v>
          </cell>
          <cell r="AA25">
            <v>0</v>
          </cell>
          <cell r="AB25">
            <v>0</v>
          </cell>
          <cell r="AC25">
            <v>0</v>
          </cell>
          <cell r="AD25">
            <v>-3.47522184568417</v>
          </cell>
          <cell r="AE25">
            <v>0</v>
          </cell>
        </row>
        <row r="26">
          <cell r="A26" t="str">
            <v>Total US - Drug</v>
          </cell>
          <cell r="B26" t="str">
            <v>Total US - Drug</v>
          </cell>
          <cell r="C26">
            <v>121171760.292236</v>
          </cell>
          <cell r="D26">
            <v>85682067.2716064</v>
          </cell>
          <cell r="E26">
            <v>70.7112507608724</v>
          </cell>
          <cell r="F26">
            <v>35489693.0206299</v>
          </cell>
          <cell r="G26">
            <v>29.2887492391276</v>
          </cell>
          <cell r="H26">
            <v>61518209.9918823</v>
          </cell>
          <cell r="I26" t="str">
            <v>Drug</v>
          </cell>
          <cell r="J26">
            <v>82.7961856121306</v>
          </cell>
          <cell r="K26">
            <v>10583478.6617432</v>
          </cell>
          <cell r="L26">
            <v>47367397.3753591</v>
          </cell>
          <cell r="M26">
            <v>106307475.063995</v>
          </cell>
          <cell r="N26">
            <v>47367397.3753591</v>
          </cell>
          <cell r="O26">
            <v>21.3398305397005</v>
          </cell>
          <cell r="P26">
            <v>16222535.3232299</v>
          </cell>
          <cell r="Q26">
            <v>0</v>
          </cell>
          <cell r="R26">
            <v>1017625.85098267</v>
          </cell>
          <cell r="S26">
            <v>-2373564.65133667</v>
          </cell>
          <cell r="T26">
            <v>-2.5743105994782</v>
          </cell>
          <cell r="U26">
            <v>3391190.50231934</v>
          </cell>
          <cell r="V26">
            <v>2.5743105994782</v>
          </cell>
          <cell r="W26">
            <v>-1855949.2237854</v>
          </cell>
          <cell r="X26">
            <v>0</v>
          </cell>
          <cell r="Y26">
            <v>1.74665437338548</v>
          </cell>
          <cell r="Z26">
            <v>-1426221.58312988</v>
          </cell>
          <cell r="AA26">
            <v>-17468320.9703908</v>
          </cell>
          <cell r="AB26">
            <v>-4738390.12012577</v>
          </cell>
          <cell r="AC26">
            <v>-17468320.9703908</v>
          </cell>
          <cell r="AD26">
            <v>-1.30012015982044</v>
          </cell>
          <cell r="AE26">
            <v>0</v>
          </cell>
        </row>
        <row r="27">
          <cell r="A27" t="str">
            <v>Total US - CVS</v>
          </cell>
          <cell r="B27" t="str">
            <v>Total US - Drug</v>
          </cell>
          <cell r="C27">
            <v>121171760.292236</v>
          </cell>
          <cell r="D27">
            <v>46992078.8173828</v>
          </cell>
          <cell r="E27">
            <v>38.7813783542052</v>
          </cell>
          <cell r="F27">
            <v>74179681.4748535</v>
          </cell>
          <cell r="G27">
            <v>61.2186216457948</v>
          </cell>
          <cell r="H27">
            <v>61518209.9918823</v>
          </cell>
          <cell r="I27" t="str">
            <v>Drug</v>
          </cell>
          <cell r="J27">
            <v>90.6808062709527</v>
          </cell>
          <cell r="K27">
            <v>5733001.16778564</v>
          </cell>
          <cell r="L27">
            <v>25834146.4397683</v>
          </cell>
          <cell r="M27">
            <v>49472203.9836292</v>
          </cell>
          <cell r="N27">
            <v>25834146.4397683</v>
          </cell>
          <cell r="O27">
            <v>19.981325212321</v>
          </cell>
          <cell r="P27">
            <v>8305391.72722789</v>
          </cell>
          <cell r="Q27">
            <v>0</v>
          </cell>
          <cell r="R27">
            <v>1017625.85098267</v>
          </cell>
          <cell r="S27">
            <v>-1693850.0737915</v>
          </cell>
          <cell r="T27">
            <v>-1.7381835548176</v>
          </cell>
          <cell r="U27">
            <v>2711475.92477417</v>
          </cell>
          <cell r="V27">
            <v>1.7381835548176</v>
          </cell>
          <cell r="W27">
            <v>-1855949.2237854</v>
          </cell>
          <cell r="X27">
            <v>0</v>
          </cell>
          <cell r="Y27">
            <v>1.73554086178549</v>
          </cell>
          <cell r="Z27">
            <v>-1272843.93267822</v>
          </cell>
          <cell r="AA27">
            <v>-10390962.2342439</v>
          </cell>
          <cell r="AB27">
            <v>-6007077.55809784</v>
          </cell>
          <cell r="AC27">
            <v>-10390962.2342439</v>
          </cell>
          <cell r="AD27">
            <v>-2.57117337758373</v>
          </cell>
          <cell r="AE27">
            <v>0</v>
          </cell>
        </row>
        <row r="28">
          <cell r="A28" t="str">
            <v>Total US - Osco Drugs</v>
          </cell>
          <cell r="B28" t="str">
            <v>Total US - Drug</v>
          </cell>
          <cell r="C28">
            <v>121171760.292236</v>
          </cell>
          <cell r="D28">
            <v>326916.465148926</v>
          </cell>
          <cell r="E28">
            <v>0.269795919742755</v>
          </cell>
          <cell r="F28">
            <v>120844843.827087</v>
          </cell>
          <cell r="G28">
            <v>99.7302040802572</v>
          </cell>
          <cell r="H28">
            <v>61518209.9918823</v>
          </cell>
          <cell r="I28" t="str">
            <v>Drug</v>
          </cell>
          <cell r="J28">
            <v>0</v>
          </cell>
          <cell r="K28">
            <v>0</v>
          </cell>
          <cell r="L28">
            <v>0</v>
          </cell>
          <cell r="M28">
            <v>0</v>
          </cell>
          <cell r="N28">
            <v>0</v>
          </cell>
          <cell r="O28">
            <v>0</v>
          </cell>
          <cell r="P28">
            <v>0</v>
          </cell>
          <cell r="Q28">
            <v>0</v>
          </cell>
          <cell r="R28">
            <v>1017625.85098267</v>
          </cell>
          <cell r="S28">
            <v>-64782.1588134766</v>
          </cell>
          <cell r="T28">
            <v>-0.0562008724474573</v>
          </cell>
          <cell r="U28">
            <v>1082408.00979614</v>
          </cell>
          <cell r="V28">
            <v>0.0562008724474481</v>
          </cell>
          <cell r="W28">
            <v>-1855949.2237854</v>
          </cell>
          <cell r="X28">
            <v>0</v>
          </cell>
          <cell r="Y28">
            <v>0</v>
          </cell>
          <cell r="Z28">
            <v>0</v>
          </cell>
          <cell r="AA28">
            <v>0</v>
          </cell>
          <cell r="AB28">
            <v>0</v>
          </cell>
          <cell r="AC28">
            <v>0</v>
          </cell>
          <cell r="AD28">
            <v>0</v>
          </cell>
          <cell r="AE28">
            <v>0</v>
          </cell>
        </row>
        <row r="29">
          <cell r="A29" t="str">
            <v>Total US - Rite Aid</v>
          </cell>
          <cell r="B29" t="str">
            <v>Total US - Drug</v>
          </cell>
          <cell r="C29">
            <v>121171760.292236</v>
          </cell>
          <cell r="D29">
            <v>21645759.9282837</v>
          </cell>
          <cell r="E29">
            <v>17.8637001526424</v>
          </cell>
          <cell r="F29">
            <v>99526000.3639526</v>
          </cell>
          <cell r="G29">
            <v>82.1362998473576</v>
          </cell>
          <cell r="H29">
            <v>61518209.9918823</v>
          </cell>
          <cell r="I29" t="str">
            <v>Drug</v>
          </cell>
          <cell r="J29">
            <v>97.308571589885</v>
          </cell>
          <cell r="K29">
            <v>1655718.58111572</v>
          </cell>
          <cell r="L29">
            <v>6152656.05388069</v>
          </cell>
          <cell r="M29">
            <v>14359910.8831081</v>
          </cell>
          <cell r="N29">
            <v>6152656.05388069</v>
          </cell>
          <cell r="O29">
            <v>14.2745278254724</v>
          </cell>
          <cell r="P29">
            <v>3746449.85615338</v>
          </cell>
          <cell r="Q29">
            <v>0</v>
          </cell>
          <cell r="R29">
            <v>1017625.85098267</v>
          </cell>
          <cell r="S29">
            <v>-1424736.62191772</v>
          </cell>
          <cell r="T29">
            <v>-1.33705116356068</v>
          </cell>
          <cell r="U29">
            <v>2442362.47290039</v>
          </cell>
          <cell r="V29">
            <v>1.33705116356067</v>
          </cell>
          <cell r="W29">
            <v>-1855949.2237854</v>
          </cell>
          <cell r="X29">
            <v>0</v>
          </cell>
          <cell r="Y29">
            <v>0.255831857775206</v>
          </cell>
          <cell r="Z29">
            <v>-212082.833557129</v>
          </cell>
          <cell r="AA29">
            <v>-1526271.36720848</v>
          </cell>
          <cell r="AB29">
            <v>-1452433.9960146</v>
          </cell>
          <cell r="AC29">
            <v>-1526271.36720848</v>
          </cell>
          <cell r="AD29">
            <v>0.254595403053584</v>
          </cell>
          <cell r="AE29">
            <v>0</v>
          </cell>
        </row>
        <row r="30">
          <cell r="A30" t="str">
            <v>Total US - Walgreens</v>
          </cell>
          <cell r="B30" t="str">
            <v>Total US - Drug</v>
          </cell>
          <cell r="C30">
            <v>121171760.292236</v>
          </cell>
          <cell r="D30">
            <v>55792649.0424805</v>
          </cell>
          <cell r="E30">
            <v>46.0442671691179</v>
          </cell>
          <cell r="F30">
            <v>65379111.2497559</v>
          </cell>
          <cell r="G30">
            <v>53.9557328308821</v>
          </cell>
          <cell r="H30">
            <v>61518209.9918823</v>
          </cell>
          <cell r="I30" t="str">
            <v>Drug</v>
          </cell>
          <cell r="J30">
            <v>92.0245546919681</v>
          </cell>
          <cell r="K30">
            <v>4906351.19238281</v>
          </cell>
          <cell r="L30">
            <v>14172125.6260567</v>
          </cell>
          <cell r="M30">
            <v>38607076.2041416</v>
          </cell>
          <cell r="N30">
            <v>14172125.6260567</v>
          </cell>
          <cell r="O30">
            <v>14.8284694509789</v>
          </cell>
          <cell r="P30">
            <v>7680634.88732753</v>
          </cell>
          <cell r="Q30">
            <v>0</v>
          </cell>
          <cell r="R30">
            <v>1017625.85098267</v>
          </cell>
          <cell r="S30">
            <v>-2063375.54284668</v>
          </cell>
          <cell r="T30">
            <v>-2.10723827376334</v>
          </cell>
          <cell r="U30">
            <v>3081001.39382935</v>
          </cell>
          <cell r="V30">
            <v>2.10723827376334</v>
          </cell>
          <cell r="W30">
            <v>-1855949.2237854</v>
          </cell>
          <cell r="X30">
            <v>0</v>
          </cell>
          <cell r="Y30">
            <v>0.315841143824159</v>
          </cell>
          <cell r="Z30">
            <v>-348181.884643555</v>
          </cell>
          <cell r="AA30">
            <v>-5439781.08112144</v>
          </cell>
          <cell r="AB30">
            <v>2429147.44929504</v>
          </cell>
          <cell r="AC30">
            <v>-5439781.08112144</v>
          </cell>
          <cell r="AD30">
            <v>0.228574896951278</v>
          </cell>
          <cell r="AE30">
            <v>0</v>
          </cell>
        </row>
        <row r="31">
          <cell r="A31" t="str">
            <v>Total US - GroceryX</v>
          </cell>
          <cell r="B31" t="str">
            <v>Total US - GroceryX</v>
          </cell>
          <cell r="C31">
            <v>121171760.292236</v>
          </cell>
          <cell r="D31">
            <v>119062654.327881</v>
          </cell>
          <cell r="E31">
            <v>98.2594080012795</v>
          </cell>
          <cell r="F31">
            <v>2109105.96435547</v>
          </cell>
          <cell r="G31">
            <v>1.74059199872052</v>
          </cell>
          <cell r="H31">
            <v>61518209.9918823</v>
          </cell>
          <cell r="I31" t="str">
            <v>GroceryX</v>
          </cell>
          <cell r="J31">
            <v>40.5833690104298</v>
          </cell>
          <cell r="K31">
            <v>36552047.8222656</v>
          </cell>
          <cell r="L31">
            <v>181239767.421648</v>
          </cell>
          <cell r="M31">
            <v>610436804.760924</v>
          </cell>
          <cell r="N31">
            <v>181239767.421648</v>
          </cell>
          <cell r="O31">
            <v>60.1775747378468</v>
          </cell>
          <cell r="P31">
            <v>31214209.0877407</v>
          </cell>
          <cell r="Q31">
            <v>0</v>
          </cell>
          <cell r="R31">
            <v>1017625.85098267</v>
          </cell>
          <cell r="S31">
            <v>689204.991668701</v>
          </cell>
          <cell r="T31">
            <v>-0.258591305758827</v>
          </cell>
          <cell r="U31">
            <v>328420.859313965</v>
          </cell>
          <cell r="V31">
            <v>0.258591305758827</v>
          </cell>
          <cell r="W31">
            <v>-1855949.2237854</v>
          </cell>
          <cell r="X31">
            <v>0</v>
          </cell>
          <cell r="Y31">
            <v>2.8854638475359</v>
          </cell>
          <cell r="Z31">
            <v>-2931380.95449829</v>
          </cell>
          <cell r="AA31">
            <v>-55680439.4890461</v>
          </cell>
          <cell r="AB31">
            <v>-63072569.2734518</v>
          </cell>
          <cell r="AC31">
            <v>-55680439.4890461</v>
          </cell>
          <cell r="AD31">
            <v>-2.3838159488075</v>
          </cell>
          <cell r="AE31">
            <v>0</v>
          </cell>
        </row>
        <row r="32">
          <cell r="A32" t="str">
            <v>Total US - A&amp;P</v>
          </cell>
          <cell r="B32" t="str">
            <v>Total US - GroceryX</v>
          </cell>
          <cell r="C32">
            <v>121171760.292236</v>
          </cell>
          <cell r="D32">
            <v>1228605.45092773</v>
          </cell>
          <cell r="E32">
            <v>1.0139371153515</v>
          </cell>
          <cell r="F32">
            <v>119943154.841309</v>
          </cell>
          <cell r="G32">
            <v>98.9860628846485</v>
          </cell>
          <cell r="H32">
            <v>61518209.9918823</v>
          </cell>
          <cell r="I32" t="str">
            <v>GroceryX</v>
          </cell>
          <cell r="J32">
            <v>0</v>
          </cell>
          <cell r="K32">
            <v>0</v>
          </cell>
          <cell r="L32">
            <v>0</v>
          </cell>
          <cell r="M32">
            <v>0</v>
          </cell>
          <cell r="N32">
            <v>0</v>
          </cell>
          <cell r="O32">
            <v>16.9056752839046</v>
          </cell>
          <cell r="P32">
            <v>197254.574070453</v>
          </cell>
          <cell r="Q32">
            <v>0</v>
          </cell>
          <cell r="R32">
            <v>1017625.85098267</v>
          </cell>
          <cell r="S32">
            <v>-65266.0344238281</v>
          </cell>
          <cell r="T32">
            <v>-0.0629059673841752</v>
          </cell>
          <cell r="U32">
            <v>1082891.88540649</v>
          </cell>
          <cell r="V32">
            <v>0.0629059673841823</v>
          </cell>
          <cell r="W32">
            <v>-1855949.2237854</v>
          </cell>
          <cell r="X32">
            <v>0</v>
          </cell>
          <cell r="Y32">
            <v>0</v>
          </cell>
          <cell r="Z32">
            <v>0</v>
          </cell>
          <cell r="AA32">
            <v>0</v>
          </cell>
          <cell r="AB32">
            <v>0</v>
          </cell>
          <cell r="AC32">
            <v>0</v>
          </cell>
          <cell r="AD32">
            <v>-5.65016915239467</v>
          </cell>
          <cell r="AE32">
            <v>0</v>
          </cell>
        </row>
        <row r="33">
          <cell r="A33" t="str">
            <v>Total US - Acme Market</v>
          </cell>
          <cell r="B33" t="str">
            <v>Total US - GroceryX</v>
          </cell>
          <cell r="C33">
            <v>121171760.292236</v>
          </cell>
          <cell r="D33">
            <v>2111672.67926025</v>
          </cell>
          <cell r="E33">
            <v>1.74271024384512</v>
          </cell>
          <cell r="F33">
            <v>119060087.612976</v>
          </cell>
          <cell r="G33">
            <v>98.2572897561549</v>
          </cell>
          <cell r="H33">
            <v>61518209.9918823</v>
          </cell>
          <cell r="I33" t="str">
            <v>GroceryX</v>
          </cell>
          <cell r="J33">
            <v>99.5415431498216</v>
          </cell>
          <cell r="K33">
            <v>282034.447814941</v>
          </cell>
          <cell r="L33">
            <v>0</v>
          </cell>
          <cell r="M33">
            <v>2324381.02497864</v>
          </cell>
          <cell r="N33">
            <v>0</v>
          </cell>
          <cell r="O33">
            <v>26.4217165794879</v>
          </cell>
          <cell r="P33">
            <v>460777.449415948</v>
          </cell>
          <cell r="Q33">
            <v>0</v>
          </cell>
          <cell r="R33">
            <v>1017625.85098267</v>
          </cell>
          <cell r="S33">
            <v>286357.514343262</v>
          </cell>
          <cell r="T33">
            <v>0.223565544076644</v>
          </cell>
          <cell r="U33">
            <v>731268.336639404</v>
          </cell>
          <cell r="V33">
            <v>-0.223565544076649</v>
          </cell>
          <cell r="W33">
            <v>-1855949.2237854</v>
          </cell>
          <cell r="X33">
            <v>0</v>
          </cell>
          <cell r="Y33">
            <v>0.0789551832783388</v>
          </cell>
          <cell r="Z33">
            <v>-58545.9099121094</v>
          </cell>
          <cell r="AA33">
            <v>0</v>
          </cell>
          <cell r="AB33">
            <v>-1144003.58778477</v>
          </cell>
          <cell r="AC33">
            <v>0</v>
          </cell>
          <cell r="AD33">
            <v>-4.30306347221032</v>
          </cell>
          <cell r="AE33">
            <v>0</v>
          </cell>
        </row>
        <row r="34">
          <cell r="A34" t="str">
            <v>Total US - Albertsons</v>
          </cell>
          <cell r="B34" t="str">
            <v>Total US - GroceryX</v>
          </cell>
          <cell r="C34">
            <v>121171760.292236</v>
          </cell>
          <cell r="D34">
            <v>10854346.4588623</v>
          </cell>
          <cell r="E34">
            <v>8.95781858139578</v>
          </cell>
          <cell r="F34">
            <v>110317413.833374</v>
          </cell>
          <cell r="G34">
            <v>91.0421814186042</v>
          </cell>
          <cell r="H34">
            <v>61518209.9918823</v>
          </cell>
          <cell r="I34" t="str">
            <v>GroceryX</v>
          </cell>
          <cell r="J34">
            <v>98.1698851870579</v>
          </cell>
          <cell r="K34">
            <v>1125853.87371826</v>
          </cell>
          <cell r="L34">
            <v>2645514.15057373</v>
          </cell>
          <cell r="M34">
            <v>9334064.06549072</v>
          </cell>
          <cell r="N34">
            <v>2645514.15057373</v>
          </cell>
          <cell r="O34">
            <v>17.925755156572</v>
          </cell>
          <cell r="P34">
            <v>2041012.14365937</v>
          </cell>
          <cell r="Q34">
            <v>0</v>
          </cell>
          <cell r="R34">
            <v>1017625.85098267</v>
          </cell>
          <cell r="S34">
            <v>-785411.630859375</v>
          </cell>
          <cell r="T34">
            <v>-0.729536867377929</v>
          </cell>
          <cell r="U34">
            <v>1803037.48184204</v>
          </cell>
          <cell r="V34">
            <v>0.729536867377931</v>
          </cell>
          <cell r="W34">
            <v>-1855949.2237854</v>
          </cell>
          <cell r="X34">
            <v>0</v>
          </cell>
          <cell r="Y34">
            <v>0.544891333319427</v>
          </cell>
          <cell r="Z34">
            <v>-379286.30279541</v>
          </cell>
          <cell r="AA34">
            <v>-2563501.14738846</v>
          </cell>
          <cell r="AB34">
            <v>-3027732.43192863</v>
          </cell>
          <cell r="AC34">
            <v>-2563501.14738846</v>
          </cell>
          <cell r="AD34">
            <v>-3.27403290101607</v>
          </cell>
          <cell r="AE34">
            <v>0</v>
          </cell>
        </row>
        <row r="35">
          <cell r="A35" t="str">
            <v>Total US - Aldi</v>
          </cell>
          <cell r="B35" t="str">
            <v>Total US - GroceryX</v>
          </cell>
          <cell r="C35">
            <v>121171760.292236</v>
          </cell>
          <cell r="D35">
            <v>26503214.0120239</v>
          </cell>
          <cell r="E35">
            <v>21.8724345904563</v>
          </cell>
          <cell r="F35">
            <v>94668546.2802124</v>
          </cell>
          <cell r="G35">
            <v>78.1275654095437</v>
          </cell>
          <cell r="H35">
            <v>61518209.9918823</v>
          </cell>
          <cell r="I35" t="str">
            <v>GroceryX</v>
          </cell>
          <cell r="J35">
            <v>97.7138515847417</v>
          </cell>
          <cell r="K35">
            <v>1406397.58282471</v>
          </cell>
          <cell r="L35">
            <v>2258250.69799805</v>
          </cell>
          <cell r="M35">
            <v>7887505.48884583</v>
          </cell>
          <cell r="N35">
            <v>2258250.69799805</v>
          </cell>
          <cell r="O35">
            <v>10.0990621694951</v>
          </cell>
          <cell r="P35">
            <v>1833963.81307837</v>
          </cell>
          <cell r="Q35">
            <v>0</v>
          </cell>
          <cell r="R35">
            <v>1017625.85098267</v>
          </cell>
          <cell r="S35">
            <v>1529368.64562988</v>
          </cell>
          <cell r="T35">
            <v>1.08759395011667</v>
          </cell>
          <cell r="U35">
            <v>-511742.794647217</v>
          </cell>
          <cell r="V35">
            <v>-1.08759395011666</v>
          </cell>
          <cell r="W35">
            <v>-1855949.2237854</v>
          </cell>
          <cell r="X35">
            <v>0</v>
          </cell>
          <cell r="Y35">
            <v>0.0336746115504241</v>
          </cell>
          <cell r="Z35">
            <v>-63770.7557067871</v>
          </cell>
          <cell r="AA35">
            <v>-152850.542480469</v>
          </cell>
          <cell r="AB35">
            <v>-1758864.33274841</v>
          </cell>
          <cell r="AC35">
            <v>-152850.542480469</v>
          </cell>
          <cell r="AD35">
            <v>-1.45663774223306</v>
          </cell>
          <cell r="AE35">
            <v>0</v>
          </cell>
        </row>
        <row r="36">
          <cell r="A36" t="str">
            <v>Total US - BI Lo</v>
          </cell>
          <cell r="B36" t="str">
            <v>Total US - GroceryX</v>
          </cell>
          <cell r="C36">
            <v>121171760.292236</v>
          </cell>
          <cell r="D36">
            <v>2420141.44134521</v>
          </cell>
          <cell r="E36">
            <v>1.99728173916796</v>
          </cell>
          <cell r="F36">
            <v>118751618.850891</v>
          </cell>
          <cell r="G36">
            <v>98.002718260832</v>
          </cell>
          <cell r="H36">
            <v>61518209.9918823</v>
          </cell>
          <cell r="I36" t="str">
            <v>GroceryX</v>
          </cell>
          <cell r="J36">
            <v>99.3030707553149</v>
          </cell>
          <cell r="K36">
            <v>428738.396240234</v>
          </cell>
          <cell r="L36">
            <v>0</v>
          </cell>
          <cell r="M36">
            <v>6092387.56130981</v>
          </cell>
          <cell r="N36">
            <v>0</v>
          </cell>
          <cell r="O36">
            <v>35.9551970659519</v>
          </cell>
          <cell r="P36">
            <v>519610.589087687</v>
          </cell>
          <cell r="Q36">
            <v>0</v>
          </cell>
          <cell r="R36">
            <v>1017625.85098267</v>
          </cell>
          <cell r="S36">
            <v>-99463.617980957</v>
          </cell>
          <cell r="T36">
            <v>-0.0996956732556327</v>
          </cell>
          <cell r="U36">
            <v>1117089.46896362</v>
          </cell>
          <cell r="V36">
            <v>0.0996956732556384</v>
          </cell>
          <cell r="W36">
            <v>-1855949.2237854</v>
          </cell>
          <cell r="X36">
            <v>0</v>
          </cell>
          <cell r="Y36">
            <v>0.0159583353651271</v>
          </cell>
          <cell r="Z36">
            <v>-23048.1137695313</v>
          </cell>
          <cell r="AA36">
            <v>0</v>
          </cell>
          <cell r="AB36">
            <v>-1011973.00143433</v>
          </cell>
          <cell r="AC36">
            <v>0</v>
          </cell>
          <cell r="AD36">
            <v>-2.40038077889431</v>
          </cell>
          <cell r="AE36">
            <v>0</v>
          </cell>
        </row>
        <row r="37">
          <cell r="A37" t="str">
            <v>Total US - Bashas</v>
          </cell>
          <cell r="B37" t="str">
            <v>Total US - GroceryX</v>
          </cell>
          <cell r="C37">
            <v>121171760.292236</v>
          </cell>
          <cell r="D37">
            <v>812854.016479492</v>
          </cell>
          <cell r="E37">
            <v>0.6708279342638</v>
          </cell>
          <cell r="F37">
            <v>120358906.275757</v>
          </cell>
          <cell r="G37">
            <v>99.3291720657362</v>
          </cell>
          <cell r="H37">
            <v>61518209.9918823</v>
          </cell>
          <cell r="I37" t="str">
            <v>GroceryX</v>
          </cell>
          <cell r="J37">
            <v>0</v>
          </cell>
          <cell r="K37">
            <v>0</v>
          </cell>
          <cell r="L37">
            <v>0</v>
          </cell>
          <cell r="M37">
            <v>0</v>
          </cell>
          <cell r="N37">
            <v>0</v>
          </cell>
          <cell r="O37">
            <v>13.8558120642382</v>
          </cell>
          <cell r="P37">
            <v>94517.464980823</v>
          </cell>
          <cell r="Q37">
            <v>0</v>
          </cell>
          <cell r="R37">
            <v>1017625.85098267</v>
          </cell>
          <cell r="S37">
            <v>-14816.9144287109</v>
          </cell>
          <cell r="T37">
            <v>-0.0180130571486696</v>
          </cell>
          <cell r="U37">
            <v>1032442.76541138</v>
          </cell>
          <cell r="V37">
            <v>0.0180130571486785</v>
          </cell>
          <cell r="W37">
            <v>-1855949.2237854</v>
          </cell>
          <cell r="X37">
            <v>0</v>
          </cell>
          <cell r="Y37">
            <v>0</v>
          </cell>
          <cell r="Z37">
            <v>0</v>
          </cell>
          <cell r="AA37">
            <v>0</v>
          </cell>
          <cell r="AB37">
            <v>0</v>
          </cell>
          <cell r="AC37">
            <v>0</v>
          </cell>
          <cell r="AD37">
            <v>-0.766598015518266</v>
          </cell>
          <cell r="AE37">
            <v>0</v>
          </cell>
        </row>
        <row r="38">
          <cell r="A38" t="str">
            <v>Total US - Big Y</v>
          </cell>
          <cell r="B38" t="str">
            <v>Total US - GroceryX</v>
          </cell>
          <cell r="C38">
            <v>121171760.292236</v>
          </cell>
          <cell r="D38">
            <v>1065618.60388184</v>
          </cell>
          <cell r="E38">
            <v>0.879428178076994</v>
          </cell>
          <cell r="F38">
            <v>120106141.688354</v>
          </cell>
          <cell r="G38">
            <v>99.120571821923</v>
          </cell>
          <cell r="H38">
            <v>61518209.9918823</v>
          </cell>
          <cell r="I38" t="str">
            <v>GroceryX</v>
          </cell>
          <cell r="J38">
            <v>99.7406746989465</v>
          </cell>
          <cell r="K38">
            <v>159532.28326416</v>
          </cell>
          <cell r="L38">
            <v>0</v>
          </cell>
          <cell r="M38">
            <v>1826152.99577332</v>
          </cell>
          <cell r="N38">
            <v>0</v>
          </cell>
          <cell r="O38">
            <v>34.3044974121143</v>
          </cell>
          <cell r="P38">
            <v>215483.978440996</v>
          </cell>
          <cell r="Q38">
            <v>0</v>
          </cell>
          <cell r="R38">
            <v>1017625.85098267</v>
          </cell>
          <cell r="S38">
            <v>-54598.8517456055</v>
          </cell>
          <cell r="T38">
            <v>-0.052888850243945</v>
          </cell>
          <cell r="U38">
            <v>1072224.70272827</v>
          </cell>
          <cell r="V38">
            <v>0.0528888502439457</v>
          </cell>
          <cell r="W38">
            <v>-1855949.2237854</v>
          </cell>
          <cell r="X38">
            <v>0</v>
          </cell>
          <cell r="Y38">
            <v>-0.00836495663533299</v>
          </cell>
          <cell r="Z38">
            <v>488.275024414063</v>
          </cell>
          <cell r="AA38">
            <v>0</v>
          </cell>
          <cell r="AB38">
            <v>376628.095626831</v>
          </cell>
          <cell r="AC38">
            <v>0</v>
          </cell>
          <cell r="AD38">
            <v>1.6092276322647</v>
          </cell>
          <cell r="AE38">
            <v>0</v>
          </cell>
        </row>
        <row r="39">
          <cell r="A39" t="str">
            <v>Total US - Bottom Dollar</v>
          </cell>
          <cell r="B39" t="str">
            <v>Total US - GroceryX</v>
          </cell>
          <cell r="C39">
            <v>121171760.292236</v>
          </cell>
          <cell r="D39">
            <v>0</v>
          </cell>
          <cell r="E39">
            <v>0</v>
          </cell>
          <cell r="F39">
            <v>0</v>
          </cell>
          <cell r="G39">
            <v>0</v>
          </cell>
          <cell r="H39">
            <v>61518209.9918823</v>
          </cell>
          <cell r="I39" t="str">
            <v>GroceryX</v>
          </cell>
          <cell r="J39">
            <v>0</v>
          </cell>
          <cell r="K39">
            <v>0</v>
          </cell>
          <cell r="L39">
            <v>0</v>
          </cell>
          <cell r="M39">
            <v>0</v>
          </cell>
          <cell r="N39">
            <v>0</v>
          </cell>
          <cell r="O39">
            <v>0</v>
          </cell>
          <cell r="P39">
            <v>0</v>
          </cell>
          <cell r="Q39">
            <v>0</v>
          </cell>
          <cell r="R39">
            <v>1017625.85098267</v>
          </cell>
          <cell r="S39">
            <v>0</v>
          </cell>
          <cell r="T39">
            <v>0</v>
          </cell>
          <cell r="U39">
            <v>0</v>
          </cell>
          <cell r="V39">
            <v>0</v>
          </cell>
          <cell r="W39">
            <v>-1855949.2237854</v>
          </cell>
          <cell r="X39">
            <v>0</v>
          </cell>
          <cell r="Y39">
            <v>0</v>
          </cell>
          <cell r="Z39">
            <v>0</v>
          </cell>
          <cell r="AA39">
            <v>0</v>
          </cell>
          <cell r="AB39">
            <v>0</v>
          </cell>
          <cell r="AC39">
            <v>0</v>
          </cell>
          <cell r="AD39">
            <v>0</v>
          </cell>
          <cell r="AE39">
            <v>0</v>
          </cell>
        </row>
        <row r="40">
          <cell r="A40" t="str">
            <v>Total US - Brookshire Foods</v>
          </cell>
          <cell r="B40" t="str">
            <v>Total US - GroceryX</v>
          </cell>
          <cell r="C40">
            <v>121171760.292236</v>
          </cell>
          <cell r="D40">
            <v>911403.295959473</v>
          </cell>
          <cell r="E40">
            <v>0.752158170980923</v>
          </cell>
          <cell r="F40">
            <v>120260356.996277</v>
          </cell>
          <cell r="G40">
            <v>99.2478418290191</v>
          </cell>
          <cell r="H40">
            <v>61518209.9918823</v>
          </cell>
          <cell r="I40" t="str">
            <v>GroceryX</v>
          </cell>
          <cell r="J40">
            <v>0</v>
          </cell>
          <cell r="K40">
            <v>0</v>
          </cell>
          <cell r="L40">
            <v>0</v>
          </cell>
          <cell r="M40">
            <v>0</v>
          </cell>
          <cell r="N40">
            <v>0</v>
          </cell>
          <cell r="O40">
            <v>24.0924933659968</v>
          </cell>
          <cell r="P40">
            <v>167453.018079127</v>
          </cell>
          <cell r="Q40">
            <v>0</v>
          </cell>
          <cell r="R40">
            <v>1017625.85098267</v>
          </cell>
          <cell r="S40">
            <v>32622.8024291992</v>
          </cell>
          <cell r="T40">
            <v>0.0207805137602042</v>
          </cell>
          <cell r="U40">
            <v>985003.048553467</v>
          </cell>
          <cell r="V40">
            <v>-0.0207805137602008</v>
          </cell>
          <cell r="W40">
            <v>-1855949.2237854</v>
          </cell>
          <cell r="X40">
            <v>0</v>
          </cell>
          <cell r="Y40">
            <v>0</v>
          </cell>
          <cell r="Z40">
            <v>0</v>
          </cell>
          <cell r="AA40">
            <v>0</v>
          </cell>
          <cell r="AB40">
            <v>0</v>
          </cell>
          <cell r="AC40">
            <v>0</v>
          </cell>
          <cell r="AD40">
            <v>1.11054535990552</v>
          </cell>
          <cell r="AE40">
            <v>0</v>
          </cell>
        </row>
        <row r="41">
          <cell r="A41" t="str">
            <v>Total US - C Town</v>
          </cell>
          <cell r="B41" t="str">
            <v>Total US - GroceryX</v>
          </cell>
          <cell r="C41">
            <v>121171760.292236</v>
          </cell>
          <cell r="D41">
            <v>782622.565979004</v>
          </cell>
          <cell r="E41">
            <v>0.645878680058383</v>
          </cell>
          <cell r="F41">
            <v>120389137.726257</v>
          </cell>
          <cell r="G41">
            <v>99.3541213199416</v>
          </cell>
          <cell r="H41">
            <v>61518209.9918823</v>
          </cell>
          <cell r="I41" t="str">
            <v>GroceryX</v>
          </cell>
          <cell r="J41">
            <v>0</v>
          </cell>
          <cell r="K41">
            <v>0</v>
          </cell>
          <cell r="L41">
            <v>0</v>
          </cell>
          <cell r="M41">
            <v>0</v>
          </cell>
          <cell r="N41">
            <v>0</v>
          </cell>
          <cell r="O41">
            <v>18.0254174215079</v>
          </cell>
          <cell r="P41">
            <v>152116.846152938</v>
          </cell>
          <cell r="Q41">
            <v>0</v>
          </cell>
          <cell r="R41">
            <v>1017625.85098267</v>
          </cell>
          <cell r="S41">
            <v>-14901.161315918</v>
          </cell>
          <cell r="T41">
            <v>-0.0178718691870539</v>
          </cell>
          <cell r="U41">
            <v>1032527.01229858</v>
          </cell>
          <cell r="V41">
            <v>0.0178718691870472</v>
          </cell>
          <cell r="W41">
            <v>-1855949.2237854</v>
          </cell>
          <cell r="X41">
            <v>0</v>
          </cell>
          <cell r="Y41">
            <v>0</v>
          </cell>
          <cell r="Z41">
            <v>0</v>
          </cell>
          <cell r="AA41">
            <v>0</v>
          </cell>
          <cell r="AB41">
            <v>0</v>
          </cell>
          <cell r="AC41">
            <v>0</v>
          </cell>
          <cell r="AD41">
            <v>-1.82772389742637</v>
          </cell>
          <cell r="AE41">
            <v>0</v>
          </cell>
        </row>
        <row r="42">
          <cell r="A42" t="str">
            <v>Total US - Cub Foods</v>
          </cell>
          <cell r="B42" t="str">
            <v>Total US - GroceryX</v>
          </cell>
          <cell r="C42">
            <v>121171760.292236</v>
          </cell>
          <cell r="D42">
            <v>1569393.66162109</v>
          </cell>
          <cell r="E42">
            <v>1.29518103709652</v>
          </cell>
          <cell r="F42">
            <v>119602366.630615</v>
          </cell>
          <cell r="G42">
            <v>98.7048189629035</v>
          </cell>
          <cell r="H42">
            <v>61518209.9918823</v>
          </cell>
          <cell r="I42" t="str">
            <v>GroceryX</v>
          </cell>
          <cell r="J42">
            <v>99.3377558853689</v>
          </cell>
          <cell r="K42">
            <v>407400.725097656</v>
          </cell>
          <cell r="L42">
            <v>1977933.65781403</v>
          </cell>
          <cell r="M42">
            <v>2532345.04463196</v>
          </cell>
          <cell r="N42">
            <v>1977933.65781403</v>
          </cell>
          <cell r="O42">
            <v>33.9343203780682</v>
          </cell>
          <cell r="P42">
            <v>226542.748809266</v>
          </cell>
          <cell r="Q42">
            <v>0</v>
          </cell>
          <cell r="R42">
            <v>1017625.85098267</v>
          </cell>
          <cell r="S42">
            <v>28580.2462463379</v>
          </cell>
          <cell r="T42">
            <v>0.0128169948270465</v>
          </cell>
          <cell r="U42">
            <v>989045.604736328</v>
          </cell>
          <cell r="V42">
            <v>-0.012816994827034</v>
          </cell>
          <cell r="W42">
            <v>-1855949.2237854</v>
          </cell>
          <cell r="X42">
            <v>0</v>
          </cell>
          <cell r="Y42">
            <v>-0.0315500689952444</v>
          </cell>
          <cell r="Z42">
            <v>7703.67645263672</v>
          </cell>
          <cell r="AA42">
            <v>345073.369293213</v>
          </cell>
          <cell r="AB42">
            <v>-404257.465690613</v>
          </cell>
          <cell r="AC42">
            <v>345073.369293213</v>
          </cell>
          <cell r="AD42">
            <v>-0.599332393485881</v>
          </cell>
          <cell r="AE42">
            <v>0</v>
          </cell>
        </row>
        <row r="43">
          <cell r="A43" t="str">
            <v>Total US - Dominicks</v>
          </cell>
          <cell r="B43" t="str">
            <v>Total US - GroceryX</v>
          </cell>
          <cell r="C43">
            <v>121171760.292236</v>
          </cell>
          <cell r="D43">
            <v>0</v>
          </cell>
          <cell r="E43">
            <v>0</v>
          </cell>
          <cell r="F43">
            <v>0</v>
          </cell>
          <cell r="G43">
            <v>0</v>
          </cell>
          <cell r="H43">
            <v>61518209.9918823</v>
          </cell>
          <cell r="I43" t="str">
            <v>GroceryX</v>
          </cell>
          <cell r="J43">
            <v>0</v>
          </cell>
          <cell r="K43">
            <v>0</v>
          </cell>
          <cell r="L43">
            <v>0</v>
          </cell>
          <cell r="M43">
            <v>0</v>
          </cell>
          <cell r="N43">
            <v>0</v>
          </cell>
          <cell r="O43">
            <v>0</v>
          </cell>
          <cell r="P43">
            <v>0</v>
          </cell>
          <cell r="Q43">
            <v>0</v>
          </cell>
          <cell r="R43">
            <v>1017625.85098267</v>
          </cell>
          <cell r="S43">
            <v>0</v>
          </cell>
          <cell r="T43">
            <v>0</v>
          </cell>
          <cell r="U43">
            <v>0</v>
          </cell>
          <cell r="V43">
            <v>0</v>
          </cell>
          <cell r="W43">
            <v>-1855949.2237854</v>
          </cell>
          <cell r="X43">
            <v>0</v>
          </cell>
          <cell r="Y43">
            <v>0</v>
          </cell>
          <cell r="Z43">
            <v>0</v>
          </cell>
          <cell r="AA43">
            <v>0</v>
          </cell>
          <cell r="AB43">
            <v>0</v>
          </cell>
          <cell r="AC43">
            <v>0</v>
          </cell>
          <cell r="AD43">
            <v>0</v>
          </cell>
          <cell r="AE43">
            <v>0</v>
          </cell>
        </row>
        <row r="44">
          <cell r="A44" t="str">
            <v>Total US - Fareway</v>
          </cell>
          <cell r="B44" t="str">
            <v>Total US - GroceryX</v>
          </cell>
          <cell r="C44">
            <v>121171760.292236</v>
          </cell>
          <cell r="D44">
            <v>1315830.93530273</v>
          </cell>
          <cell r="E44">
            <v>1.08592210935062</v>
          </cell>
          <cell r="F44">
            <v>119855929.356934</v>
          </cell>
          <cell r="G44">
            <v>98.9140778906494</v>
          </cell>
          <cell r="H44">
            <v>61518209.9918823</v>
          </cell>
          <cell r="I44" t="str">
            <v>GroceryX</v>
          </cell>
          <cell r="J44">
            <v>99.7581926901886</v>
          </cell>
          <cell r="K44">
            <v>148755.528625488</v>
          </cell>
          <cell r="L44">
            <v>0</v>
          </cell>
          <cell r="M44">
            <v>1650047.18029118</v>
          </cell>
          <cell r="N44">
            <v>0</v>
          </cell>
          <cell r="O44">
            <v>24.0991848125366</v>
          </cell>
          <cell r="P44">
            <v>182741.036167603</v>
          </cell>
          <cell r="Q44">
            <v>0</v>
          </cell>
          <cell r="R44">
            <v>1017625.85098267</v>
          </cell>
          <cell r="S44">
            <v>65315.3431091309</v>
          </cell>
          <cell r="T44">
            <v>0.045162589914352</v>
          </cell>
          <cell r="U44">
            <v>952310.507873535</v>
          </cell>
          <cell r="V44">
            <v>-0.0451625899143409</v>
          </cell>
          <cell r="W44">
            <v>-1855949.2237854</v>
          </cell>
          <cell r="X44">
            <v>0</v>
          </cell>
          <cell r="Y44">
            <v>0.0407450627105419</v>
          </cell>
          <cell r="Z44">
            <v>-30309.6618041992</v>
          </cell>
          <cell r="AA44">
            <v>0</v>
          </cell>
          <cell r="AB44">
            <v>162988.658654213</v>
          </cell>
          <cell r="AC44">
            <v>0</v>
          </cell>
          <cell r="AD44">
            <v>-2.59548684185359</v>
          </cell>
          <cell r="AE44">
            <v>0</v>
          </cell>
        </row>
        <row r="45">
          <cell r="A45" t="str">
            <v>Total US - Food 4 Less</v>
          </cell>
          <cell r="B45" t="str">
            <v>Total US - GroceryX</v>
          </cell>
          <cell r="C45">
            <v>121171760.292236</v>
          </cell>
          <cell r="D45">
            <v>2915807.03497314</v>
          </cell>
          <cell r="E45">
            <v>2.40634206183102</v>
          </cell>
          <cell r="F45">
            <v>118255953.257263</v>
          </cell>
          <cell r="G45">
            <v>97.593657938169</v>
          </cell>
          <cell r="H45">
            <v>61518209.9918823</v>
          </cell>
          <cell r="I45" t="str">
            <v>GroceryX</v>
          </cell>
          <cell r="J45">
            <v>99.215706301499</v>
          </cell>
          <cell r="K45">
            <v>482483.444396973</v>
          </cell>
          <cell r="L45">
            <v>3350984.56188965</v>
          </cell>
          <cell r="M45">
            <v>10055136.586853</v>
          </cell>
          <cell r="N45">
            <v>3350984.56188965</v>
          </cell>
          <cell r="O45">
            <v>26.7313165911739</v>
          </cell>
          <cell r="P45">
            <v>605066.562019857</v>
          </cell>
          <cell r="Q45">
            <v>0</v>
          </cell>
          <cell r="R45">
            <v>1017625.85098267</v>
          </cell>
          <cell r="S45">
            <v>-434644.099243164</v>
          </cell>
          <cell r="T45">
            <v>-0.382118901078603</v>
          </cell>
          <cell r="U45">
            <v>1452269.95022583</v>
          </cell>
          <cell r="V45">
            <v>0.382118901078599</v>
          </cell>
          <cell r="W45">
            <v>-1855949.2237854</v>
          </cell>
          <cell r="X45">
            <v>0</v>
          </cell>
          <cell r="Y45">
            <v>0.199205531715009</v>
          </cell>
          <cell r="Z45">
            <v>-140800.92364502</v>
          </cell>
          <cell r="AA45">
            <v>-2856218.38720703</v>
          </cell>
          <cell r="AB45">
            <v>-1635935.68478394</v>
          </cell>
          <cell r="AC45">
            <v>-2856218.38720703</v>
          </cell>
          <cell r="AD45">
            <v>-3.86273452209761</v>
          </cell>
          <cell r="AE45">
            <v>0</v>
          </cell>
        </row>
        <row r="46">
          <cell r="A46" t="str">
            <v>Total US - Food Lion</v>
          </cell>
          <cell r="B46" t="str">
            <v>Total US - GroceryX</v>
          </cell>
          <cell r="C46">
            <v>121171760.292236</v>
          </cell>
          <cell r="D46">
            <v>8116589.36547852</v>
          </cell>
          <cell r="E46">
            <v>6.69841664914606</v>
          </cell>
          <cell r="F46">
            <v>113055170.926758</v>
          </cell>
          <cell r="G46">
            <v>93.3015833508539</v>
          </cell>
          <cell r="H46">
            <v>61518209.9918823</v>
          </cell>
          <cell r="I46" t="str">
            <v>GroceryX</v>
          </cell>
          <cell r="J46">
            <v>98.2396012584932</v>
          </cell>
          <cell r="K46">
            <v>1082965.79449463</v>
          </cell>
          <cell r="L46">
            <v>3779971.80615234</v>
          </cell>
          <cell r="M46">
            <v>12003276.0894623</v>
          </cell>
          <cell r="N46">
            <v>3779971.80615234</v>
          </cell>
          <cell r="O46">
            <v>29.0861392168674</v>
          </cell>
          <cell r="P46">
            <v>1484176.03776319</v>
          </cell>
          <cell r="Q46">
            <v>0</v>
          </cell>
          <cell r="R46">
            <v>1017625.85098267</v>
          </cell>
          <cell r="S46">
            <v>96923.1474609375</v>
          </cell>
          <cell r="T46">
            <v>0.02393453056479</v>
          </cell>
          <cell r="U46">
            <v>920702.703521729</v>
          </cell>
          <cell r="V46">
            <v>-0.0239345305648015</v>
          </cell>
          <cell r="W46">
            <v>-1855949.2237854</v>
          </cell>
          <cell r="X46">
            <v>0</v>
          </cell>
          <cell r="Y46">
            <v>0.00896872833261853</v>
          </cell>
          <cell r="Z46">
            <v>-38355.9629516602</v>
          </cell>
          <cell r="AA46">
            <v>-655115.547988892</v>
          </cell>
          <cell r="AB46">
            <v>269387.52545166</v>
          </cell>
          <cell r="AC46">
            <v>-655115.547988892</v>
          </cell>
          <cell r="AD46">
            <v>-0.705364359430021</v>
          </cell>
          <cell r="AE46">
            <v>0</v>
          </cell>
        </row>
        <row r="47">
          <cell r="A47" t="str">
            <v>Total US - Fred Meyer</v>
          </cell>
          <cell r="B47" t="str">
            <v>Total US - GroceryX</v>
          </cell>
          <cell r="C47">
            <v>121171760.292236</v>
          </cell>
          <cell r="D47">
            <v>3828643.39715576</v>
          </cell>
          <cell r="E47">
            <v>3.15968290624979</v>
          </cell>
          <cell r="F47">
            <v>117343116.895081</v>
          </cell>
          <cell r="G47">
            <v>96.8403170937502</v>
          </cell>
          <cell r="H47">
            <v>61518209.9918823</v>
          </cell>
          <cell r="I47" t="str">
            <v>GroceryX</v>
          </cell>
          <cell r="J47">
            <v>98.8075727050512</v>
          </cell>
          <cell r="K47">
            <v>733559.927307129</v>
          </cell>
          <cell r="L47">
            <v>1573029.33479309</v>
          </cell>
          <cell r="M47">
            <v>8947260.52957344</v>
          </cell>
          <cell r="N47">
            <v>1573029.33479309</v>
          </cell>
          <cell r="O47">
            <v>38.8669563017578</v>
          </cell>
          <cell r="P47">
            <v>689292.001213403</v>
          </cell>
          <cell r="Q47">
            <v>0</v>
          </cell>
          <cell r="R47">
            <v>1017625.85098267</v>
          </cell>
          <cell r="S47">
            <v>83852.2239990234</v>
          </cell>
          <cell r="T47">
            <v>0.0430267956873522</v>
          </cell>
          <cell r="U47">
            <v>933773.626983643</v>
          </cell>
          <cell r="V47">
            <v>-0.0430267956873536</v>
          </cell>
          <cell r="W47">
            <v>-1855949.2237854</v>
          </cell>
          <cell r="X47">
            <v>0</v>
          </cell>
          <cell r="Y47">
            <v>0.00601222934430723</v>
          </cell>
          <cell r="Z47">
            <v>-25941.044921875</v>
          </cell>
          <cell r="AA47">
            <v>-1172242.80143738</v>
          </cell>
          <cell r="AB47">
            <v>1626400.27356911</v>
          </cell>
          <cell r="AC47">
            <v>-1172242.80143738</v>
          </cell>
          <cell r="AD47">
            <v>-0.14555407723762</v>
          </cell>
          <cell r="AE47">
            <v>0</v>
          </cell>
        </row>
        <row r="48">
          <cell r="A48" t="str">
            <v>Total US - Fresh &amp; Easy Neighborhood</v>
          </cell>
          <cell r="B48" t="str">
            <v>Total US - GroceryX</v>
          </cell>
          <cell r="C48">
            <v>121171760.292236</v>
          </cell>
          <cell r="D48">
            <v>1436724.10437012</v>
          </cell>
          <cell r="E48">
            <v>1.1856921950338</v>
          </cell>
          <cell r="F48">
            <v>119735036.187866</v>
          </cell>
          <cell r="G48">
            <v>98.8143078049662</v>
          </cell>
          <cell r="H48">
            <v>61518209.9918823</v>
          </cell>
          <cell r="I48" t="str">
            <v>GroceryX</v>
          </cell>
          <cell r="J48">
            <v>0</v>
          </cell>
          <cell r="K48">
            <v>0</v>
          </cell>
          <cell r="L48">
            <v>0</v>
          </cell>
          <cell r="M48">
            <v>0</v>
          </cell>
          <cell r="N48">
            <v>0</v>
          </cell>
          <cell r="O48">
            <v>0</v>
          </cell>
          <cell r="P48">
            <v>0</v>
          </cell>
          <cell r="Q48">
            <v>0</v>
          </cell>
          <cell r="R48">
            <v>1017625.85098267</v>
          </cell>
          <cell r="S48">
            <v>-501982.135375977</v>
          </cell>
          <cell r="T48">
            <v>-0.427823851468927</v>
          </cell>
          <cell r="U48">
            <v>1519607.98635864</v>
          </cell>
          <cell r="V48">
            <v>0.427823851468929</v>
          </cell>
          <cell r="W48">
            <v>-1855949.2237854</v>
          </cell>
          <cell r="X48">
            <v>0</v>
          </cell>
          <cell r="Y48">
            <v>0</v>
          </cell>
          <cell r="Z48">
            <v>0</v>
          </cell>
          <cell r="AA48">
            <v>0</v>
          </cell>
          <cell r="AB48">
            <v>0</v>
          </cell>
          <cell r="AC48">
            <v>0</v>
          </cell>
          <cell r="AD48">
            <v>0</v>
          </cell>
          <cell r="AE48">
            <v>0</v>
          </cell>
        </row>
        <row r="49">
          <cell r="A49" t="str">
            <v>Total US - Fresh Market</v>
          </cell>
          <cell r="B49" t="str">
            <v>Total US - GroceryX</v>
          </cell>
          <cell r="C49">
            <v>121171760.292236</v>
          </cell>
          <cell r="D49">
            <v>1556644.13745117</v>
          </cell>
          <cell r="E49">
            <v>1.28465917611243</v>
          </cell>
          <cell r="F49">
            <v>119615116.154785</v>
          </cell>
          <cell r="G49">
            <v>98.7153408238876</v>
          </cell>
          <cell r="H49">
            <v>61518209.9918823</v>
          </cell>
          <cell r="I49" t="str">
            <v>GroceryX</v>
          </cell>
          <cell r="J49">
            <v>0</v>
          </cell>
          <cell r="K49">
            <v>0</v>
          </cell>
          <cell r="L49">
            <v>0</v>
          </cell>
          <cell r="M49">
            <v>0</v>
          </cell>
          <cell r="N49">
            <v>0</v>
          </cell>
          <cell r="O49">
            <v>0</v>
          </cell>
          <cell r="P49">
            <v>0</v>
          </cell>
          <cell r="Q49">
            <v>0</v>
          </cell>
          <cell r="R49">
            <v>1017625.85098267</v>
          </cell>
          <cell r="S49">
            <v>13113.4857177734</v>
          </cell>
          <cell r="T49">
            <v>3.36749499469935E-05</v>
          </cell>
          <cell r="U49">
            <v>1004512.36526489</v>
          </cell>
          <cell r="V49">
            <v>-3.36749499467714E-05</v>
          </cell>
          <cell r="W49">
            <v>-1855949.2237854</v>
          </cell>
          <cell r="X49">
            <v>0</v>
          </cell>
          <cell r="Y49">
            <v>0</v>
          </cell>
          <cell r="Z49">
            <v>0</v>
          </cell>
          <cell r="AA49">
            <v>0</v>
          </cell>
          <cell r="AB49">
            <v>0</v>
          </cell>
          <cell r="AC49">
            <v>0</v>
          </cell>
          <cell r="AD49">
            <v>0</v>
          </cell>
          <cell r="AE49">
            <v>0</v>
          </cell>
        </row>
        <row r="50">
          <cell r="A50" t="str">
            <v>Total US - Frys</v>
          </cell>
          <cell r="B50" t="str">
            <v>Total US - GroceryX</v>
          </cell>
          <cell r="C50">
            <v>121171760.292236</v>
          </cell>
          <cell r="D50">
            <v>2046207.90725708</v>
          </cell>
          <cell r="E50">
            <v>1.68868381735326</v>
          </cell>
          <cell r="F50">
            <v>119125552.384979</v>
          </cell>
          <cell r="G50">
            <v>98.3113161826467</v>
          </cell>
          <cell r="H50">
            <v>61518209.9918823</v>
          </cell>
          <cell r="I50" t="str">
            <v>GroceryX</v>
          </cell>
          <cell r="J50">
            <v>99.0705836780477</v>
          </cell>
          <cell r="K50">
            <v>571760.284637451</v>
          </cell>
          <cell r="L50">
            <v>3679394.31938171</v>
          </cell>
          <cell r="M50">
            <v>7295317.32318115</v>
          </cell>
          <cell r="N50">
            <v>3679394.31938171</v>
          </cell>
          <cell r="O50">
            <v>48.9083166431753</v>
          </cell>
          <cell r="P50">
            <v>509956.723426754</v>
          </cell>
          <cell r="Q50">
            <v>0</v>
          </cell>
          <cell r="R50">
            <v>1017625.85098267</v>
          </cell>
          <cell r="S50">
            <v>-10099.5990905762</v>
          </cell>
          <cell r="T50">
            <v>-0.022707568311487</v>
          </cell>
          <cell r="U50">
            <v>1027725.45007324</v>
          </cell>
          <cell r="V50">
            <v>0.022707568311489</v>
          </cell>
          <cell r="W50">
            <v>-1855949.2237854</v>
          </cell>
          <cell r="X50">
            <v>0</v>
          </cell>
          <cell r="Y50">
            <v>0.0283732036385231</v>
          </cell>
          <cell r="Z50">
            <v>-35230.7742614746</v>
          </cell>
          <cell r="AA50">
            <v>393237.020004272</v>
          </cell>
          <cell r="AB50">
            <v>-336759.364456177</v>
          </cell>
          <cell r="AC50">
            <v>393237.020004272</v>
          </cell>
          <cell r="AD50">
            <v>-1.29358660459402</v>
          </cell>
          <cell r="AE50">
            <v>0</v>
          </cell>
        </row>
        <row r="51">
          <cell r="A51" t="str">
            <v>Total US - Giant Eagle</v>
          </cell>
          <cell r="B51" t="str">
            <v>Total US - GroceryX</v>
          </cell>
          <cell r="C51">
            <v>121171760.292236</v>
          </cell>
          <cell r="D51">
            <v>3484030.17138672</v>
          </cell>
          <cell r="E51">
            <v>2.87528229596079</v>
          </cell>
          <cell r="F51">
            <v>117687730.12085</v>
          </cell>
          <cell r="G51">
            <v>97.1247177040392</v>
          </cell>
          <cell r="H51">
            <v>61518209.9918823</v>
          </cell>
          <cell r="I51" t="str">
            <v>GroceryX</v>
          </cell>
          <cell r="J51">
            <v>98.7126607331539</v>
          </cell>
          <cell r="K51">
            <v>791948.073486328</v>
          </cell>
          <cell r="L51">
            <v>3777129.27478027</v>
          </cell>
          <cell r="M51">
            <v>8506426.90653992</v>
          </cell>
          <cell r="N51">
            <v>3777129.27478027</v>
          </cell>
          <cell r="O51">
            <v>42.6773804425814</v>
          </cell>
          <cell r="P51">
            <v>857502.123690399</v>
          </cell>
          <cell r="Q51">
            <v>0</v>
          </cell>
          <cell r="R51">
            <v>1017625.85098267</v>
          </cell>
          <cell r="S51">
            <v>-50286.655090332</v>
          </cell>
          <cell r="T51">
            <v>-0.0662035238260144</v>
          </cell>
          <cell r="U51">
            <v>1067912.506073</v>
          </cell>
          <cell r="V51">
            <v>0.0662035238260188</v>
          </cell>
          <cell r="W51">
            <v>-1855949.2237854</v>
          </cell>
          <cell r="X51">
            <v>0</v>
          </cell>
          <cell r="Y51">
            <v>-0.0137328719499124</v>
          </cell>
          <cell r="Z51">
            <v>-15189.2709960938</v>
          </cell>
          <cell r="AA51">
            <v>-888746.874603271</v>
          </cell>
          <cell r="AB51">
            <v>-1060069.9075489</v>
          </cell>
          <cell r="AC51">
            <v>-888746.874603271</v>
          </cell>
          <cell r="AD51">
            <v>0.531658427880899</v>
          </cell>
          <cell r="AE51">
            <v>0</v>
          </cell>
        </row>
        <row r="52">
          <cell r="A52" t="str">
            <v>Total US - Giant Food</v>
          </cell>
          <cell r="B52" t="str">
            <v>Total US - GroceryX</v>
          </cell>
          <cell r="C52">
            <v>121171760.292236</v>
          </cell>
          <cell r="D52">
            <v>2725806.11553955</v>
          </cell>
          <cell r="E52">
            <v>2.24953909142327</v>
          </cell>
          <cell r="F52">
            <v>118445954.176697</v>
          </cell>
          <cell r="G52">
            <v>97.7504609085767</v>
          </cell>
          <cell r="H52">
            <v>61518209.9918823</v>
          </cell>
          <cell r="I52" t="str">
            <v>GroceryX</v>
          </cell>
          <cell r="J52">
            <v>99.0953311751817</v>
          </cell>
          <cell r="K52">
            <v>556536.067382813</v>
          </cell>
          <cell r="L52">
            <v>1625432.94543839</v>
          </cell>
          <cell r="M52">
            <v>5089870.39025879</v>
          </cell>
          <cell r="N52">
            <v>1625432.94543839</v>
          </cell>
          <cell r="O52">
            <v>32.6468779674364</v>
          </cell>
          <cell r="P52">
            <v>507499.395550292</v>
          </cell>
          <cell r="Q52">
            <v>0</v>
          </cell>
          <cell r="R52">
            <v>1017625.85098267</v>
          </cell>
          <cell r="S52">
            <v>61501.5859985352</v>
          </cell>
          <cell r="T52">
            <v>0.0321334716077777</v>
          </cell>
          <cell r="U52">
            <v>956124.264984131</v>
          </cell>
          <cell r="V52">
            <v>-0.0321334716077644</v>
          </cell>
          <cell r="W52">
            <v>-1855949.2237854</v>
          </cell>
          <cell r="X52">
            <v>0</v>
          </cell>
          <cell r="Y52">
            <v>0.0570556431278675</v>
          </cell>
          <cell r="Z52">
            <v>-52948.7281494141</v>
          </cell>
          <cell r="AA52">
            <v>-927662.196148872</v>
          </cell>
          <cell r="AB52">
            <v>-1231090.44802856</v>
          </cell>
          <cell r="AC52">
            <v>-927662.196148872</v>
          </cell>
          <cell r="AD52">
            <v>-2.00494538790073</v>
          </cell>
          <cell r="AE52">
            <v>0</v>
          </cell>
        </row>
        <row r="53">
          <cell r="A53" t="str">
            <v>Total US - Giant Foods</v>
          </cell>
          <cell r="B53" t="str">
            <v>Total US - GroceryX</v>
          </cell>
          <cell r="C53">
            <v>121171760.292236</v>
          </cell>
          <cell r="D53">
            <v>2505863.85321045</v>
          </cell>
          <cell r="E53">
            <v>2.06802628530519</v>
          </cell>
          <cell r="F53">
            <v>118665896.439026</v>
          </cell>
          <cell r="G53">
            <v>97.9319737146948</v>
          </cell>
          <cell r="H53">
            <v>61518209.9918823</v>
          </cell>
          <cell r="I53" t="str">
            <v>GroceryX</v>
          </cell>
          <cell r="J53">
            <v>98.9211454340388</v>
          </cell>
          <cell r="K53">
            <v>663692.01739502</v>
          </cell>
          <cell r="L53">
            <v>3217027.49414063</v>
          </cell>
          <cell r="M53">
            <v>9947258.50901031</v>
          </cell>
          <cell r="N53">
            <v>3217027.49414063</v>
          </cell>
          <cell r="O53">
            <v>48.4130519606612</v>
          </cell>
          <cell r="P53">
            <v>630006.167999049</v>
          </cell>
          <cell r="Q53">
            <v>0</v>
          </cell>
          <cell r="R53">
            <v>1017625.85098267</v>
          </cell>
          <cell r="S53">
            <v>-50387.8199462891</v>
          </cell>
          <cell r="T53">
            <v>-0.0594507965646378</v>
          </cell>
          <cell r="U53">
            <v>1068013.67092896</v>
          </cell>
          <cell r="V53">
            <v>0.0594507965646329</v>
          </cell>
          <cell r="W53">
            <v>-1855949.2237854</v>
          </cell>
          <cell r="X53">
            <v>0</v>
          </cell>
          <cell r="Y53">
            <v>0.0567700413866561</v>
          </cell>
          <cell r="Z53">
            <v>-56000.5293579102</v>
          </cell>
          <cell r="AA53">
            <v>-192516.178344727</v>
          </cell>
          <cell r="AB53">
            <v>-2719272.03514862</v>
          </cell>
          <cell r="AC53">
            <v>-192516.178344727</v>
          </cell>
          <cell r="AD53">
            <v>-1.89220383277169</v>
          </cell>
          <cell r="AE53">
            <v>0</v>
          </cell>
        </row>
        <row r="54">
          <cell r="A54" t="str">
            <v>Total US - Grocery Outlet</v>
          </cell>
          <cell r="B54" t="str">
            <v>Total US - GroceryX</v>
          </cell>
          <cell r="C54">
            <v>121171760.292236</v>
          </cell>
          <cell r="D54">
            <v>4500823.18206787</v>
          </cell>
          <cell r="E54">
            <v>3.71441594247125</v>
          </cell>
          <cell r="F54">
            <v>116670937.110168</v>
          </cell>
          <cell r="G54">
            <v>96.2855840575288</v>
          </cell>
          <cell r="H54">
            <v>61518209.9918823</v>
          </cell>
          <cell r="I54" t="str">
            <v>GroceryX</v>
          </cell>
          <cell r="J54">
            <v>99.3861154719536</v>
          </cell>
          <cell r="K54">
            <v>377650.773071289</v>
          </cell>
          <cell r="L54">
            <v>1012552.07986069</v>
          </cell>
          <cell r="M54">
            <v>2246791.36231327</v>
          </cell>
          <cell r="N54">
            <v>1012552.07986069</v>
          </cell>
          <cell r="O54">
            <v>17.332888491323</v>
          </cell>
          <cell r="P54">
            <v>445609.830529382</v>
          </cell>
          <cell r="Q54">
            <v>0</v>
          </cell>
          <cell r="R54">
            <v>1017625.85098267</v>
          </cell>
          <cell r="S54">
            <v>332714.437591553</v>
          </cell>
          <cell r="T54">
            <v>0.245447717733038</v>
          </cell>
          <cell r="U54">
            <v>684911.413391113</v>
          </cell>
          <cell r="V54">
            <v>-0.245447717733043</v>
          </cell>
          <cell r="W54">
            <v>-1855949.2237854</v>
          </cell>
          <cell r="X54">
            <v>0</v>
          </cell>
          <cell r="Y54">
            <v>0.00251217265312675</v>
          </cell>
          <cell r="Z54">
            <v>-12985.4534301758</v>
          </cell>
          <cell r="AA54">
            <v>-336407.183200836</v>
          </cell>
          <cell r="AB54">
            <v>-888700.433707237</v>
          </cell>
          <cell r="AC54">
            <v>-336407.183200836</v>
          </cell>
          <cell r="AD54">
            <v>0.349942567596958</v>
          </cell>
          <cell r="AE54">
            <v>0</v>
          </cell>
        </row>
        <row r="55">
          <cell r="A55" t="str">
            <v>Total US - HEB</v>
          </cell>
          <cell r="B55" t="str">
            <v>Total US - GroceryX</v>
          </cell>
          <cell r="C55">
            <v>121171760.292236</v>
          </cell>
          <cell r="D55">
            <v>5546882.43322754</v>
          </cell>
          <cell r="E55">
            <v>4.5777022796812</v>
          </cell>
          <cell r="F55">
            <v>115624877.859009</v>
          </cell>
          <cell r="G55">
            <v>95.4222977203188</v>
          </cell>
          <cell r="H55">
            <v>61518209.9918823</v>
          </cell>
          <cell r="I55" t="str">
            <v>GroceryX</v>
          </cell>
          <cell r="J55">
            <v>97.4181920555775</v>
          </cell>
          <cell r="K55">
            <v>1588282.03283691</v>
          </cell>
          <cell r="L55">
            <v>5633573.717453</v>
          </cell>
          <cell r="M55">
            <v>29619326.5266037</v>
          </cell>
          <cell r="N55">
            <v>5633573.717453</v>
          </cell>
          <cell r="O55">
            <v>52.1709956377874</v>
          </cell>
          <cell r="P55">
            <v>1408834.55843545</v>
          </cell>
          <cell r="Q55">
            <v>0</v>
          </cell>
          <cell r="R55">
            <v>1017625.85098267</v>
          </cell>
          <cell r="S55">
            <v>144292.651489258</v>
          </cell>
          <cell r="T55">
            <v>0.0813195235973927</v>
          </cell>
          <cell r="U55">
            <v>873333.199493408</v>
          </cell>
          <cell r="V55">
            <v>-0.0813195235974007</v>
          </cell>
          <cell r="W55">
            <v>-1855949.2237854</v>
          </cell>
          <cell r="X55">
            <v>0</v>
          </cell>
          <cell r="Y55">
            <v>-0.0903079991884539</v>
          </cell>
          <cell r="Z55">
            <v>9314.89068603516</v>
          </cell>
          <cell r="AA55">
            <v>-4130841.30082703</v>
          </cell>
          <cell r="AB55">
            <v>6233199.7734642</v>
          </cell>
          <cell r="AC55">
            <v>-4130841.30082703</v>
          </cell>
          <cell r="AD55">
            <v>-0.174083014193393</v>
          </cell>
          <cell r="AE55">
            <v>0</v>
          </cell>
        </row>
        <row r="56">
          <cell r="A56" t="str">
            <v>Total US - Hannaford</v>
          </cell>
          <cell r="B56" t="str">
            <v>Total US - GroceryX</v>
          </cell>
          <cell r="C56">
            <v>121171760.292236</v>
          </cell>
          <cell r="D56">
            <v>2313984.74816895</v>
          </cell>
          <cell r="E56">
            <v>1.90967329564924</v>
          </cell>
          <cell r="F56">
            <v>118857775.544067</v>
          </cell>
          <cell r="G56">
            <v>98.0903267043508</v>
          </cell>
          <cell r="H56">
            <v>61518209.9918823</v>
          </cell>
          <cell r="I56" t="str">
            <v>GroceryX</v>
          </cell>
          <cell r="J56">
            <v>99.642669671779</v>
          </cell>
          <cell r="K56">
            <v>219823.221679688</v>
          </cell>
          <cell r="L56">
            <v>0</v>
          </cell>
          <cell r="M56">
            <v>2200463.74072266</v>
          </cell>
          <cell r="N56">
            <v>0</v>
          </cell>
          <cell r="O56">
            <v>24.8452581845429</v>
          </cell>
          <cell r="P56">
            <v>362372.797912978</v>
          </cell>
          <cell r="Q56">
            <v>0</v>
          </cell>
          <cell r="R56">
            <v>1017625.85098267</v>
          </cell>
          <cell r="S56">
            <v>-81540.4313354492</v>
          </cell>
          <cell r="T56">
            <v>-0.0840368589319387</v>
          </cell>
          <cell r="U56">
            <v>1099166.28231812</v>
          </cell>
          <cell r="V56">
            <v>0.0840368589319382</v>
          </cell>
          <cell r="W56">
            <v>-1855949.2237854</v>
          </cell>
          <cell r="X56">
            <v>0</v>
          </cell>
          <cell r="Y56">
            <v>0.0745456981033641</v>
          </cell>
          <cell r="Z56">
            <v>-53874.5788574219</v>
          </cell>
          <cell r="AA56">
            <v>0</v>
          </cell>
          <cell r="AB56">
            <v>158511.325061798</v>
          </cell>
          <cell r="AC56">
            <v>0</v>
          </cell>
          <cell r="AD56">
            <v>-0.0108470267119571</v>
          </cell>
          <cell r="AE56">
            <v>0</v>
          </cell>
        </row>
        <row r="57">
          <cell r="A57" t="str">
            <v>Total US - Harris Teeter</v>
          </cell>
          <cell r="B57" t="str">
            <v>Total US - GroceryX</v>
          </cell>
          <cell r="C57">
            <v>121171760.292236</v>
          </cell>
          <cell r="D57">
            <v>3629198.23297119</v>
          </cell>
          <cell r="E57">
            <v>2.99508583866279</v>
          </cell>
          <cell r="F57">
            <v>117542562.059265</v>
          </cell>
          <cell r="G57">
            <v>97.0049141613372</v>
          </cell>
          <cell r="H57">
            <v>61518209.9918823</v>
          </cell>
          <cell r="I57" t="str">
            <v>GroceryX</v>
          </cell>
          <cell r="J57">
            <v>98.7143448407329</v>
          </cell>
          <cell r="K57">
            <v>790912.040649414</v>
          </cell>
          <cell r="L57">
            <v>3025774.49697876</v>
          </cell>
          <cell r="M57">
            <v>9557434.60745239</v>
          </cell>
          <cell r="N57">
            <v>3025774.49697876</v>
          </cell>
          <cell r="O57">
            <v>35.0812408589327</v>
          </cell>
          <cell r="P57">
            <v>906384.188359792</v>
          </cell>
          <cell r="Q57">
            <v>0</v>
          </cell>
          <cell r="R57">
            <v>1017625.85098267</v>
          </cell>
          <cell r="S57">
            <v>-33519.8814086914</v>
          </cell>
          <cell r="T57">
            <v>-0.0532637927605686</v>
          </cell>
          <cell r="U57">
            <v>1051145.73239136</v>
          </cell>
          <cell r="V57">
            <v>0.0532637927605748</v>
          </cell>
          <cell r="W57">
            <v>-1855949.2237854</v>
          </cell>
          <cell r="X57">
            <v>0</v>
          </cell>
          <cell r="Y57">
            <v>0.331817523034346</v>
          </cell>
          <cell r="Z57">
            <v>-234147.672302246</v>
          </cell>
          <cell r="AA57">
            <v>-2493205.2724762</v>
          </cell>
          <cell r="AB57">
            <v>-4219328.19812965</v>
          </cell>
          <cell r="AC57">
            <v>-2493205.2724762</v>
          </cell>
          <cell r="AD57">
            <v>-6.14414928220185</v>
          </cell>
          <cell r="AE57">
            <v>0</v>
          </cell>
        </row>
        <row r="58">
          <cell r="A58" t="str">
            <v>Total US - Hy Vee</v>
          </cell>
          <cell r="B58" t="str">
            <v>Total US - GroceryX</v>
          </cell>
          <cell r="C58">
            <v>121171760.292236</v>
          </cell>
          <cell r="D58">
            <v>4025455.64093018</v>
          </cell>
          <cell r="E58">
            <v>3.32210709097712</v>
          </cell>
          <cell r="F58">
            <v>117146304.651306</v>
          </cell>
          <cell r="G58">
            <v>96.6778929090229</v>
          </cell>
          <cell r="H58">
            <v>61518209.9918823</v>
          </cell>
          <cell r="I58" t="str">
            <v>GroceryX</v>
          </cell>
          <cell r="J58">
            <v>98.8007380619261</v>
          </cell>
          <cell r="K58">
            <v>737764.477416992</v>
          </cell>
          <cell r="L58">
            <v>2732599.72670937</v>
          </cell>
          <cell r="M58">
            <v>7831112.85582352</v>
          </cell>
          <cell r="N58">
            <v>2732599.72670937</v>
          </cell>
          <cell r="O58">
            <v>34.1786277042415</v>
          </cell>
          <cell r="P58">
            <v>745088.180940713</v>
          </cell>
          <cell r="Q58">
            <v>0</v>
          </cell>
          <cell r="R58">
            <v>1017625.85098267</v>
          </cell>
          <cell r="S58">
            <v>99814.1549987793</v>
          </cell>
          <cell r="T58">
            <v>0.0549357163202235</v>
          </cell>
          <cell r="U58">
            <v>917811.695983887</v>
          </cell>
          <cell r="V58">
            <v>-0.054935716320216</v>
          </cell>
          <cell r="W58">
            <v>-1855949.2237854</v>
          </cell>
          <cell r="X58">
            <v>0</v>
          </cell>
          <cell r="Y58">
            <v>0.198036092336295</v>
          </cell>
          <cell r="Z58">
            <v>-147761.401092529</v>
          </cell>
          <cell r="AA58">
            <v>-1122718.6492672</v>
          </cell>
          <cell r="AB58">
            <v>-2957644.71671677</v>
          </cell>
          <cell r="AC58">
            <v>-1122718.6492672</v>
          </cell>
          <cell r="AD58">
            <v>-4.15804944131837</v>
          </cell>
          <cell r="AE58">
            <v>0</v>
          </cell>
        </row>
        <row r="59">
          <cell r="A59" t="str">
            <v>Total US - IGA</v>
          </cell>
          <cell r="B59" t="str">
            <v>Total US - GroceryX</v>
          </cell>
          <cell r="C59">
            <v>121171760.292236</v>
          </cell>
          <cell r="D59">
            <v>3742891.87548828</v>
          </cell>
          <cell r="E59">
            <v>3.08891433652639</v>
          </cell>
          <cell r="F59">
            <v>117428868.416748</v>
          </cell>
          <cell r="G59">
            <v>96.9110856634736</v>
          </cell>
          <cell r="H59">
            <v>61518209.9918823</v>
          </cell>
          <cell r="I59" t="str">
            <v>GroceryX</v>
          </cell>
          <cell r="J59">
            <v>99.7857376541342</v>
          </cell>
          <cell r="K59">
            <v>131810.359863281</v>
          </cell>
          <cell r="L59">
            <v>0</v>
          </cell>
          <cell r="M59">
            <v>1545643.74975586</v>
          </cell>
          <cell r="N59">
            <v>0</v>
          </cell>
          <cell r="O59">
            <v>15.1571181912986</v>
          </cell>
          <cell r="P59">
            <v>377000.322038612</v>
          </cell>
          <cell r="Q59">
            <v>0</v>
          </cell>
          <cell r="R59">
            <v>1017625.85098267</v>
          </cell>
          <cell r="S59">
            <v>-198431.645935059</v>
          </cell>
          <cell r="T59">
            <v>-0.191308636866464</v>
          </cell>
          <cell r="U59">
            <v>1216057.49691772</v>
          </cell>
          <cell r="V59">
            <v>0.191308636866466</v>
          </cell>
          <cell r="W59">
            <v>-1855949.2237854</v>
          </cell>
          <cell r="X59">
            <v>0</v>
          </cell>
          <cell r="Y59">
            <v>0.0277569425100239</v>
          </cell>
          <cell r="Z59">
            <v>-21567.329284668</v>
          </cell>
          <cell r="AA59">
            <v>0</v>
          </cell>
          <cell r="AB59">
            <v>174176.504585266</v>
          </cell>
          <cell r="AC59">
            <v>0</v>
          </cell>
          <cell r="AD59">
            <v>2.41589858130165</v>
          </cell>
          <cell r="AE59">
            <v>0</v>
          </cell>
        </row>
        <row r="60">
          <cell r="A60" t="str">
            <v>Total US - Ingles</v>
          </cell>
          <cell r="B60" t="str">
            <v>Total US - GroceryX</v>
          </cell>
          <cell r="C60">
            <v>121171760.292236</v>
          </cell>
          <cell r="D60">
            <v>1800848.00463867</v>
          </cell>
          <cell r="E60">
            <v>1.48619447327948</v>
          </cell>
          <cell r="F60">
            <v>119370912.287598</v>
          </cell>
          <cell r="G60">
            <v>98.5138055267205</v>
          </cell>
          <cell r="H60">
            <v>61518209.9918823</v>
          </cell>
          <cell r="I60" t="str">
            <v>GroceryX</v>
          </cell>
          <cell r="J60">
            <v>99.7114125873131</v>
          </cell>
          <cell r="K60">
            <v>177533.810546875</v>
          </cell>
          <cell r="L60">
            <v>0</v>
          </cell>
          <cell r="M60">
            <v>1722219.08666992</v>
          </cell>
          <cell r="N60">
            <v>0</v>
          </cell>
          <cell r="O60">
            <v>26.2376176963178</v>
          </cell>
          <cell r="P60">
            <v>240553.279521168</v>
          </cell>
          <cell r="Q60">
            <v>0</v>
          </cell>
          <cell r="R60">
            <v>1017625.85098267</v>
          </cell>
          <cell r="S60">
            <v>-72288.3602294922</v>
          </cell>
          <cell r="T60">
            <v>-0.072750105347559</v>
          </cell>
          <cell r="U60">
            <v>1089914.21121216</v>
          </cell>
          <cell r="V60">
            <v>0.0727501053475521</v>
          </cell>
          <cell r="W60">
            <v>-1855949.2237854</v>
          </cell>
          <cell r="X60">
            <v>0</v>
          </cell>
          <cell r="Y60">
            <v>0.064924990888116</v>
          </cell>
          <cell r="Z60">
            <v>-46501.7029418945</v>
          </cell>
          <cell r="AA60">
            <v>0</v>
          </cell>
          <cell r="AB60">
            <v>-510002.31539917</v>
          </cell>
          <cell r="AC60">
            <v>0</v>
          </cell>
          <cell r="AD60">
            <v>-2.75342419270258</v>
          </cell>
          <cell r="AE60">
            <v>0</v>
          </cell>
        </row>
        <row r="61">
          <cell r="A61" t="str">
            <v>Total US - Jewel</v>
          </cell>
          <cell r="B61" t="str">
            <v>Total US - GroceryX</v>
          </cell>
          <cell r="C61">
            <v>121171760.292236</v>
          </cell>
          <cell r="D61">
            <v>3058066.26049805</v>
          </cell>
          <cell r="E61">
            <v>2.52374501544151</v>
          </cell>
          <cell r="F61">
            <v>118113694.031738</v>
          </cell>
          <cell r="G61">
            <v>97.4762549845585</v>
          </cell>
          <cell r="H61">
            <v>61518209.9918823</v>
          </cell>
          <cell r="I61" t="str">
            <v>GroceryX</v>
          </cell>
          <cell r="J61">
            <v>98.9241067991514</v>
          </cell>
          <cell r="K61">
            <v>661870.238586426</v>
          </cell>
          <cell r="L61">
            <v>3738478.30619812</v>
          </cell>
          <cell r="M61">
            <v>5374722.99682617</v>
          </cell>
          <cell r="N61">
            <v>3738478.30619812</v>
          </cell>
          <cell r="O61">
            <v>31.8681595173164</v>
          </cell>
          <cell r="P61">
            <v>587621.90018539</v>
          </cell>
          <cell r="Q61">
            <v>0</v>
          </cell>
          <cell r="R61">
            <v>1017625.85098267</v>
          </cell>
          <cell r="S61">
            <v>-66055.815032959</v>
          </cell>
          <cell r="T61">
            <v>-0.0763503454538483</v>
          </cell>
          <cell r="U61">
            <v>1083681.66601563</v>
          </cell>
          <cell r="V61">
            <v>0.0763503454538466</v>
          </cell>
          <cell r="W61">
            <v>-1855949.2237854</v>
          </cell>
          <cell r="X61">
            <v>0</v>
          </cell>
          <cell r="Y61">
            <v>-0.118880025297187</v>
          </cell>
          <cell r="Z61">
            <v>55371.1849975586</v>
          </cell>
          <cell r="AA61">
            <v>692444.35824585</v>
          </cell>
          <cell r="AB61">
            <v>991684.990919113</v>
          </cell>
          <cell r="AC61">
            <v>692444.35824585</v>
          </cell>
          <cell r="AD61">
            <v>2.89670873116464</v>
          </cell>
          <cell r="AE61">
            <v>0</v>
          </cell>
        </row>
        <row r="62">
          <cell r="A62" t="str">
            <v>Total US - King Soopers</v>
          </cell>
          <cell r="B62" t="str">
            <v>Total US - GroceryX</v>
          </cell>
          <cell r="C62">
            <v>121171760.292236</v>
          </cell>
          <cell r="D62">
            <v>1794326.19552612</v>
          </cell>
          <cell r="E62">
            <v>1.48081218858144</v>
          </cell>
          <cell r="F62">
            <v>119377434.09671</v>
          </cell>
          <cell r="G62">
            <v>98.5191878114186</v>
          </cell>
          <cell r="H62">
            <v>61518209.9918823</v>
          </cell>
          <cell r="I62" t="str">
            <v>GroceryX</v>
          </cell>
          <cell r="J62">
            <v>99.0207312890277</v>
          </cell>
          <cell r="K62">
            <v>602428.582000732</v>
          </cell>
          <cell r="L62">
            <v>2070869.37606812</v>
          </cell>
          <cell r="M62">
            <v>8609814.06231689</v>
          </cell>
          <cell r="N62">
            <v>2070869.37606812</v>
          </cell>
          <cell r="O62">
            <v>52.0372609580835</v>
          </cell>
          <cell r="P62">
            <v>457219.347561464</v>
          </cell>
          <cell r="Q62">
            <v>0</v>
          </cell>
          <cell r="R62">
            <v>1017625.85098267</v>
          </cell>
          <cell r="S62">
            <v>21374.9187316895</v>
          </cell>
          <cell r="T62">
            <v>0.00524808499142049</v>
          </cell>
          <cell r="U62">
            <v>996250.932250977</v>
          </cell>
          <cell r="V62">
            <v>-0.00524808499142182</v>
          </cell>
          <cell r="W62">
            <v>-1855949.2237854</v>
          </cell>
          <cell r="X62">
            <v>0</v>
          </cell>
          <cell r="Y62">
            <v>-0.0137849198530802</v>
          </cell>
          <cell r="Z62">
            <v>-9438.65298461914</v>
          </cell>
          <cell r="AA62">
            <v>-18379.921661377</v>
          </cell>
          <cell r="AB62">
            <v>-977767.257957459</v>
          </cell>
          <cell r="AC62">
            <v>-18379.921661377</v>
          </cell>
          <cell r="AD62">
            <v>1.44171553125543</v>
          </cell>
          <cell r="AE62">
            <v>0</v>
          </cell>
        </row>
        <row r="63">
          <cell r="A63" t="str">
            <v>Total US - Kroger</v>
          </cell>
          <cell r="B63" t="str">
            <v>Total US - GroceryX</v>
          </cell>
          <cell r="C63">
            <v>121171760.292236</v>
          </cell>
          <cell r="D63">
            <v>22081055.505249</v>
          </cell>
          <cell r="E63">
            <v>18.2229386219982</v>
          </cell>
          <cell r="F63">
            <v>99090704.7869873</v>
          </cell>
          <cell r="G63">
            <v>81.7770613780018</v>
          </cell>
          <cell r="H63">
            <v>61518209.9918823</v>
          </cell>
          <cell r="I63" t="str">
            <v>GroceryX</v>
          </cell>
          <cell r="J63">
            <v>91.4510599369204</v>
          </cell>
          <cell r="K63">
            <v>5259154.90008545</v>
          </cell>
          <cell r="L63">
            <v>22926351.3529587</v>
          </cell>
          <cell r="M63">
            <v>83222188.1612549</v>
          </cell>
          <cell r="N63">
            <v>22926351.3529587</v>
          </cell>
          <cell r="O63">
            <v>48.6957007285124</v>
          </cell>
          <cell r="P63">
            <v>5872151.84951508</v>
          </cell>
          <cell r="Q63">
            <v>0</v>
          </cell>
          <cell r="R63">
            <v>1017625.85098267</v>
          </cell>
          <cell r="S63">
            <v>276035.086456299</v>
          </cell>
          <cell r="T63">
            <v>0.0753979483531033</v>
          </cell>
          <cell r="U63">
            <v>741590.764526367</v>
          </cell>
          <cell r="V63">
            <v>-0.075397948353114</v>
          </cell>
          <cell r="W63">
            <v>-1855949.2237854</v>
          </cell>
          <cell r="X63">
            <v>0</v>
          </cell>
          <cell r="Y63">
            <v>0.412823983990506</v>
          </cell>
          <cell r="Z63">
            <v>-420287.715637207</v>
          </cell>
          <cell r="AA63">
            <v>-1945623.10754395</v>
          </cell>
          <cell r="AB63">
            <v>2201230.40841293</v>
          </cell>
          <cell r="AC63">
            <v>-1945623.10754395</v>
          </cell>
          <cell r="AD63">
            <v>0.156396007928372</v>
          </cell>
          <cell r="AE63">
            <v>0</v>
          </cell>
        </row>
        <row r="64">
          <cell r="A64" t="str">
            <v>Total US - Lowes Foods</v>
          </cell>
          <cell r="B64" t="str">
            <v>Total US - GroceryX</v>
          </cell>
          <cell r="C64">
            <v>121171760.292236</v>
          </cell>
          <cell r="D64">
            <v>1150707.55633545</v>
          </cell>
          <cell r="E64">
            <v>0.949649946126249</v>
          </cell>
          <cell r="F64">
            <v>120021052.735901</v>
          </cell>
          <cell r="G64">
            <v>99.0503500538738</v>
          </cell>
          <cell r="H64">
            <v>61518209.9918823</v>
          </cell>
          <cell r="I64" t="str">
            <v>GroceryX</v>
          </cell>
          <cell r="J64">
            <v>99.7942504044275</v>
          </cell>
          <cell r="K64">
            <v>126573.468261719</v>
          </cell>
          <cell r="L64">
            <v>0</v>
          </cell>
          <cell r="M64">
            <v>1091503.8414917</v>
          </cell>
          <cell r="N64">
            <v>0</v>
          </cell>
          <cell r="O64">
            <v>18.1281962143621</v>
          </cell>
          <cell r="P64">
            <v>175502.491603972</v>
          </cell>
          <cell r="Q64">
            <v>0</v>
          </cell>
          <cell r="R64">
            <v>1017625.85098267</v>
          </cell>
          <cell r="S64">
            <v>-102782.184020996</v>
          </cell>
          <cell r="T64">
            <v>-0.0935848507332032</v>
          </cell>
          <cell r="U64">
            <v>1120408.03500366</v>
          </cell>
          <cell r="V64">
            <v>0.0935848507332082</v>
          </cell>
          <cell r="W64">
            <v>-1855949.2237854</v>
          </cell>
          <cell r="X64">
            <v>0</v>
          </cell>
          <cell r="Y64">
            <v>0.0900366407487496</v>
          </cell>
          <cell r="Z64">
            <v>-60878.5720825195</v>
          </cell>
          <cell r="AA64">
            <v>0</v>
          </cell>
          <cell r="AB64">
            <v>-618862.680862427</v>
          </cell>
          <cell r="AC64">
            <v>0</v>
          </cell>
          <cell r="AD64">
            <v>-5.72768875969456</v>
          </cell>
          <cell r="AE64">
            <v>0</v>
          </cell>
        </row>
        <row r="65">
          <cell r="A65" t="str">
            <v>Total US - Lucky</v>
          </cell>
          <cell r="B65" t="str">
            <v>Total US - GroceryX</v>
          </cell>
          <cell r="C65">
            <v>121171760.292236</v>
          </cell>
          <cell r="D65">
            <v>1319223.22045898</v>
          </cell>
          <cell r="E65">
            <v>1.08872167679775</v>
          </cell>
          <cell r="F65">
            <v>119852537.071777</v>
          </cell>
          <cell r="G65">
            <v>98.9112783232023</v>
          </cell>
          <cell r="H65">
            <v>61518209.9918823</v>
          </cell>
          <cell r="I65" t="str">
            <v>GroceryX</v>
          </cell>
          <cell r="J65">
            <v>99.8143289726607</v>
          </cell>
          <cell r="K65">
            <v>114221.492492676</v>
          </cell>
          <cell r="L65">
            <v>0</v>
          </cell>
          <cell r="M65">
            <v>0</v>
          </cell>
          <cell r="N65">
            <v>0</v>
          </cell>
          <cell r="O65">
            <v>13.4489599404399</v>
          </cell>
          <cell r="P65">
            <v>182816.673843728</v>
          </cell>
          <cell r="Q65">
            <v>0</v>
          </cell>
          <cell r="R65">
            <v>1017625.85098267</v>
          </cell>
          <cell r="S65">
            <v>-67417.1033325195</v>
          </cell>
          <cell r="T65">
            <v>-0.0653296009545508</v>
          </cell>
          <cell r="U65">
            <v>1085042.95431519</v>
          </cell>
          <cell r="V65">
            <v>0.0653296009545556</v>
          </cell>
          <cell r="W65">
            <v>-1855949.2237854</v>
          </cell>
          <cell r="X65">
            <v>0</v>
          </cell>
          <cell r="Y65">
            <v>0</v>
          </cell>
          <cell r="Z65">
            <v>0</v>
          </cell>
          <cell r="AA65">
            <v>0</v>
          </cell>
          <cell r="AB65">
            <v>0</v>
          </cell>
          <cell r="AC65">
            <v>0</v>
          </cell>
          <cell r="AD65">
            <v>0.913176076547952</v>
          </cell>
          <cell r="AE65">
            <v>0</v>
          </cell>
        </row>
        <row r="66">
          <cell r="A66" t="str">
            <v>Total US - Market Basket</v>
          </cell>
          <cell r="B66" t="str">
            <v>Total US - GroceryX</v>
          </cell>
          <cell r="C66">
            <v>121171760.292236</v>
          </cell>
          <cell r="D66">
            <v>2081802.48309326</v>
          </cell>
          <cell r="E66">
            <v>1.71805912373681</v>
          </cell>
          <cell r="F66">
            <v>119089957.809143</v>
          </cell>
          <cell r="G66">
            <v>98.2819408762632</v>
          </cell>
          <cell r="H66">
            <v>61518209.9918823</v>
          </cell>
          <cell r="I66" t="str">
            <v>GroceryX</v>
          </cell>
          <cell r="J66">
            <v>99.2256405835886</v>
          </cell>
          <cell r="K66">
            <v>476372.051879883</v>
          </cell>
          <cell r="L66">
            <v>1385682.6361084</v>
          </cell>
          <cell r="M66">
            <v>6012985.16426086</v>
          </cell>
          <cell r="N66">
            <v>1385682.6361084</v>
          </cell>
          <cell r="O66">
            <v>48.4304515905157</v>
          </cell>
          <cell r="P66">
            <v>370515.367628388</v>
          </cell>
          <cell r="Q66">
            <v>0</v>
          </cell>
          <cell r="R66">
            <v>1017625.85098267</v>
          </cell>
          <cell r="S66">
            <v>149725.236450195</v>
          </cell>
          <cell r="T66">
            <v>0.110060151726647</v>
          </cell>
          <cell r="U66">
            <v>867900.614532471</v>
          </cell>
          <cell r="V66">
            <v>-0.110060151726643</v>
          </cell>
          <cell r="W66">
            <v>-1855949.2237854</v>
          </cell>
          <cell r="X66">
            <v>0</v>
          </cell>
          <cell r="Y66">
            <v>-0.0770061784160703</v>
          </cell>
          <cell r="Z66">
            <v>34430.3005371094</v>
          </cell>
          <cell r="AA66">
            <v>354221.948272705</v>
          </cell>
          <cell r="AB66">
            <v>654434.252029419</v>
          </cell>
          <cell r="AC66">
            <v>354221.948272705</v>
          </cell>
          <cell r="AD66">
            <v>1.88206585250754</v>
          </cell>
          <cell r="AE66">
            <v>0</v>
          </cell>
        </row>
        <row r="67">
          <cell r="A67" t="str">
            <v>Total US - Meijer</v>
          </cell>
          <cell r="B67" t="str">
            <v>Total US - GroceryX</v>
          </cell>
          <cell r="C67">
            <v>121171760.292236</v>
          </cell>
          <cell r="D67">
            <v>8847363.53125</v>
          </cell>
          <cell r="E67">
            <v>7.30150615119591</v>
          </cell>
          <cell r="F67">
            <v>112324396.760986</v>
          </cell>
          <cell r="G67">
            <v>92.6984938488041</v>
          </cell>
          <cell r="H67">
            <v>61518209.9918823</v>
          </cell>
          <cell r="I67" t="str">
            <v>GroceryX</v>
          </cell>
          <cell r="J67">
            <v>96.2312418395951</v>
          </cell>
          <cell r="K67">
            <v>2318472.5592041</v>
          </cell>
          <cell r="L67">
            <v>7389159.6093235</v>
          </cell>
          <cell r="M67">
            <v>40020620.4944992</v>
          </cell>
          <cell r="N67">
            <v>7389159.6093235</v>
          </cell>
          <cell r="O67">
            <v>50.4801711630131</v>
          </cell>
          <cell r="P67">
            <v>2606774.49050178</v>
          </cell>
          <cell r="Q67">
            <v>0</v>
          </cell>
          <cell r="R67">
            <v>1017625.85098267</v>
          </cell>
          <cell r="S67">
            <v>244799.751068115</v>
          </cell>
          <cell r="T67">
            <v>0.141899184539351</v>
          </cell>
          <cell r="U67">
            <v>772826.099914551</v>
          </cell>
          <cell r="V67">
            <v>-0.141899184539355</v>
          </cell>
          <cell r="W67">
            <v>-1855949.2237854</v>
          </cell>
          <cell r="X67">
            <v>0</v>
          </cell>
          <cell r="Y67">
            <v>-0.0807737373478972</v>
          </cell>
          <cell r="Z67">
            <v>-18756.5609130859</v>
          </cell>
          <cell r="AA67">
            <v>-2414952.22364712</v>
          </cell>
          <cell r="AB67">
            <v>928403.112075806</v>
          </cell>
          <cell r="AC67">
            <v>-2414952.22364712</v>
          </cell>
          <cell r="AD67">
            <v>1.078088069378</v>
          </cell>
          <cell r="AE67">
            <v>0</v>
          </cell>
        </row>
        <row r="68">
          <cell r="A68" t="str">
            <v>Total US - Pathmark</v>
          </cell>
          <cell r="B68" t="str">
            <v>Total US - GroceryX</v>
          </cell>
          <cell r="C68">
            <v>121171760.292236</v>
          </cell>
          <cell r="D68">
            <v>2564329.57525635</v>
          </cell>
          <cell r="E68">
            <v>2.11627657225728</v>
          </cell>
          <cell r="F68">
            <v>118607430.71698</v>
          </cell>
          <cell r="G68">
            <v>97.8837234277427</v>
          </cell>
          <cell r="H68">
            <v>61518209.9918823</v>
          </cell>
          <cell r="I68" t="str">
            <v>GroceryX</v>
          </cell>
          <cell r="J68">
            <v>99.4731160483238</v>
          </cell>
          <cell r="K68">
            <v>324129.575805664</v>
          </cell>
          <cell r="L68">
            <v>0</v>
          </cell>
          <cell r="M68">
            <v>4924483.23010254</v>
          </cell>
          <cell r="N68">
            <v>0</v>
          </cell>
          <cell r="O68">
            <v>25.5932993439886</v>
          </cell>
          <cell r="P68">
            <v>488154.856718512</v>
          </cell>
          <cell r="Q68">
            <v>0</v>
          </cell>
          <cell r="R68">
            <v>1017625.85098267</v>
          </cell>
          <cell r="S68">
            <v>-363827.277893066</v>
          </cell>
          <cell r="T68">
            <v>-0.320723924451439</v>
          </cell>
          <cell r="U68">
            <v>1381453.12887573</v>
          </cell>
          <cell r="V68">
            <v>0.320723924451443</v>
          </cell>
          <cell r="W68">
            <v>-1855949.2237854</v>
          </cell>
          <cell r="X68">
            <v>0</v>
          </cell>
          <cell r="Y68">
            <v>0.121595842798243</v>
          </cell>
          <cell r="Z68">
            <v>-86839.0416259766</v>
          </cell>
          <cell r="AA68">
            <v>0</v>
          </cell>
          <cell r="AB68">
            <v>-2800038.25487518</v>
          </cell>
          <cell r="AC68">
            <v>0</v>
          </cell>
          <cell r="AD68">
            <v>-5.73579781253524</v>
          </cell>
          <cell r="AE68">
            <v>0</v>
          </cell>
        </row>
        <row r="69">
          <cell r="A69" t="str">
            <v>Total US - Pick N Save</v>
          </cell>
          <cell r="B69" t="str">
            <v>Total US - GroceryX</v>
          </cell>
          <cell r="C69">
            <v>121171760.292236</v>
          </cell>
          <cell r="D69">
            <v>1156001.49047852</v>
          </cell>
          <cell r="E69">
            <v>0.954018896556859</v>
          </cell>
          <cell r="F69">
            <v>120015758.801758</v>
          </cell>
          <cell r="G69">
            <v>99.0459811034431</v>
          </cell>
          <cell r="H69">
            <v>61518209.9918823</v>
          </cell>
          <cell r="I69" t="str">
            <v>GroceryX</v>
          </cell>
          <cell r="J69">
            <v>99.6051197772806</v>
          </cell>
          <cell r="K69">
            <v>242923.244628906</v>
          </cell>
          <cell r="L69">
            <v>0</v>
          </cell>
          <cell r="M69">
            <v>2941151.47918701</v>
          </cell>
          <cell r="N69">
            <v>0</v>
          </cell>
          <cell r="O69">
            <v>35.394167054273</v>
          </cell>
          <cell r="P69">
            <v>229689.572610307</v>
          </cell>
          <cell r="Q69">
            <v>0</v>
          </cell>
          <cell r="R69">
            <v>1017625.85098267</v>
          </cell>
          <cell r="S69">
            <v>-67347.1894836426</v>
          </cell>
          <cell r="T69">
            <v>-0.06413057091759</v>
          </cell>
          <cell r="U69">
            <v>1084973.04046631</v>
          </cell>
          <cell r="V69">
            <v>0.0641305709175839</v>
          </cell>
          <cell r="W69">
            <v>-1855949.2237854</v>
          </cell>
          <cell r="X69">
            <v>0</v>
          </cell>
          <cell r="Y69">
            <v>0.00889717611822505</v>
          </cell>
          <cell r="Z69">
            <v>-12967.2869873047</v>
          </cell>
          <cell r="AA69">
            <v>0</v>
          </cell>
          <cell r="AB69">
            <v>218870.694458008</v>
          </cell>
          <cell r="AC69">
            <v>0</v>
          </cell>
          <cell r="AD69">
            <v>-1.2537410776039</v>
          </cell>
          <cell r="AE69">
            <v>0</v>
          </cell>
        </row>
        <row r="70">
          <cell r="A70" t="str">
            <v>Total US - Piggly Wiggly</v>
          </cell>
          <cell r="B70" t="str">
            <v>Total US - GroceryX</v>
          </cell>
          <cell r="C70">
            <v>121171760.292236</v>
          </cell>
          <cell r="D70">
            <v>3273275.59637451</v>
          </cell>
          <cell r="E70">
            <v>2.70135185663737</v>
          </cell>
          <cell r="F70">
            <v>117898484.695862</v>
          </cell>
          <cell r="G70">
            <v>97.2986481433626</v>
          </cell>
          <cell r="H70">
            <v>61518209.9918823</v>
          </cell>
          <cell r="I70" t="str">
            <v>GroceryX</v>
          </cell>
          <cell r="J70">
            <v>99.6147765897626</v>
          </cell>
          <cell r="K70">
            <v>236982.546447754</v>
          </cell>
          <cell r="L70">
            <v>0</v>
          </cell>
          <cell r="M70">
            <v>2470128.81488037</v>
          </cell>
          <cell r="N70">
            <v>0</v>
          </cell>
          <cell r="O70">
            <v>18.1297494549732</v>
          </cell>
          <cell r="P70">
            <v>369053.094971839</v>
          </cell>
          <cell r="Q70">
            <v>0</v>
          </cell>
          <cell r="R70">
            <v>1017625.85098267</v>
          </cell>
          <cell r="S70">
            <v>-115347.588775635</v>
          </cell>
          <cell r="T70">
            <v>-0.118878342604693</v>
          </cell>
          <cell r="U70">
            <v>1132973.4397583</v>
          </cell>
          <cell r="V70">
            <v>0.118878342604688</v>
          </cell>
          <cell r="W70">
            <v>-1855949.2237854</v>
          </cell>
          <cell r="X70">
            <v>0</v>
          </cell>
          <cell r="Y70">
            <v>-0.02454899421204</v>
          </cell>
          <cell r="Z70">
            <v>8408.16778564453</v>
          </cell>
          <cell r="AA70">
            <v>0</v>
          </cell>
          <cell r="AB70">
            <v>-569386.783935547</v>
          </cell>
          <cell r="AC70">
            <v>0</v>
          </cell>
          <cell r="AD70">
            <v>0.747887436503316</v>
          </cell>
          <cell r="AE70">
            <v>0</v>
          </cell>
        </row>
        <row r="71">
          <cell r="A71" t="str">
            <v>Total US - Price Chopper</v>
          </cell>
          <cell r="B71" t="str">
            <v>Total US - GroceryX</v>
          </cell>
          <cell r="C71">
            <v>121171760.292236</v>
          </cell>
          <cell r="D71">
            <v>2056375.40771484</v>
          </cell>
          <cell r="E71">
            <v>1.69707479923984</v>
          </cell>
          <cell r="F71">
            <v>119115384.884521</v>
          </cell>
          <cell r="G71">
            <v>98.3029252007602</v>
          </cell>
          <cell r="H71">
            <v>61518209.9918823</v>
          </cell>
          <cell r="I71" t="str">
            <v>GroceryX</v>
          </cell>
          <cell r="J71">
            <v>99.267635421736</v>
          </cell>
          <cell r="K71">
            <v>450537.579162598</v>
          </cell>
          <cell r="L71">
            <v>1769158.40209961</v>
          </cell>
          <cell r="M71">
            <v>7302698.63381958</v>
          </cell>
          <cell r="N71">
            <v>1769158.40209961</v>
          </cell>
          <cell r="O71">
            <v>46.3361039975683</v>
          </cell>
          <cell r="P71">
            <v>540596.052116878</v>
          </cell>
          <cell r="Q71">
            <v>0</v>
          </cell>
          <cell r="R71">
            <v>1017625.85098267</v>
          </cell>
          <cell r="S71">
            <v>-90622.0295410156</v>
          </cell>
          <cell r="T71">
            <v>-0.0897945808609222</v>
          </cell>
          <cell r="U71">
            <v>1108247.88052368</v>
          </cell>
          <cell r="V71">
            <v>0.0897945808609251</v>
          </cell>
          <cell r="W71">
            <v>-1855949.2237854</v>
          </cell>
          <cell r="X71">
            <v>0</v>
          </cell>
          <cell r="Y71">
            <v>0.0456949391651023</v>
          </cell>
          <cell r="Z71">
            <v>-42551.0982055664</v>
          </cell>
          <cell r="AA71">
            <v>-160526.488998413</v>
          </cell>
          <cell r="AB71">
            <v>-1303046.68374634</v>
          </cell>
          <cell r="AC71">
            <v>-160526.488998413</v>
          </cell>
          <cell r="AD71">
            <v>0.434546600626355</v>
          </cell>
          <cell r="AE71">
            <v>0</v>
          </cell>
        </row>
        <row r="72">
          <cell r="A72" t="str">
            <v>Total US - Price Rite</v>
          </cell>
          <cell r="B72" t="str">
            <v>Total US - GroceryX</v>
          </cell>
          <cell r="C72">
            <v>121171760.292236</v>
          </cell>
          <cell r="D72">
            <v>1369646.6583252</v>
          </cell>
          <cell r="E72">
            <v>1.13033486929788</v>
          </cell>
          <cell r="F72">
            <v>119802113.633911</v>
          </cell>
          <cell r="G72">
            <v>98.8696651307021</v>
          </cell>
          <cell r="H72">
            <v>61518209.9918823</v>
          </cell>
          <cell r="I72" t="str">
            <v>GroceryX</v>
          </cell>
          <cell r="J72">
            <v>99.7959341211003</v>
          </cell>
          <cell r="K72">
            <v>125537.67590332</v>
          </cell>
          <cell r="L72">
            <v>0</v>
          </cell>
          <cell r="M72">
            <v>1395901.42642212</v>
          </cell>
          <cell r="N72">
            <v>0</v>
          </cell>
          <cell r="O72">
            <v>17.9204571732659</v>
          </cell>
          <cell r="P72">
            <v>147086.607635371</v>
          </cell>
          <cell r="Q72">
            <v>0</v>
          </cell>
          <cell r="R72">
            <v>1017625.85098267</v>
          </cell>
          <cell r="S72">
            <v>41235.4440307617</v>
          </cell>
          <cell r="T72">
            <v>0.0247456022519577</v>
          </cell>
          <cell r="U72">
            <v>976390.406951904</v>
          </cell>
          <cell r="V72">
            <v>-0.0247456022519543</v>
          </cell>
          <cell r="W72">
            <v>-1855949.2237854</v>
          </cell>
          <cell r="X72">
            <v>0</v>
          </cell>
          <cell r="Y72">
            <v>-0.0207428457485861</v>
          </cell>
          <cell r="Z72">
            <v>9358.24499511719</v>
          </cell>
          <cell r="AA72">
            <v>0</v>
          </cell>
          <cell r="AB72">
            <v>-16527.7809753418</v>
          </cell>
          <cell r="AC72">
            <v>0</v>
          </cell>
          <cell r="AD72">
            <v>1.17430084585494</v>
          </cell>
          <cell r="AE72">
            <v>0</v>
          </cell>
        </row>
        <row r="73">
          <cell r="A73" t="str">
            <v>Total US - Publix</v>
          </cell>
          <cell r="B73" t="str">
            <v>Total US - GroceryX</v>
          </cell>
          <cell r="C73">
            <v>121171760.292236</v>
          </cell>
          <cell r="D73">
            <v>12929791.3328857</v>
          </cell>
          <cell r="E73">
            <v>10.6706309305917</v>
          </cell>
          <cell r="F73">
            <v>108241968.959351</v>
          </cell>
          <cell r="G73">
            <v>89.3293690694083</v>
          </cell>
          <cell r="H73">
            <v>61518209.9918823</v>
          </cell>
          <cell r="I73" t="str">
            <v>GroceryX</v>
          </cell>
          <cell r="J73">
            <v>95.0915679034686</v>
          </cell>
          <cell r="K73">
            <v>3019579.56445313</v>
          </cell>
          <cell r="L73">
            <v>15398053.1525726</v>
          </cell>
          <cell r="M73">
            <v>36898890.1630096</v>
          </cell>
          <cell r="N73">
            <v>15398053.1525726</v>
          </cell>
          <cell r="O73">
            <v>39.2243174892472</v>
          </cell>
          <cell r="P73">
            <v>3206919.90371588</v>
          </cell>
          <cell r="Q73">
            <v>0</v>
          </cell>
          <cell r="R73">
            <v>1017625.85098267</v>
          </cell>
          <cell r="S73">
            <v>294026.784301758</v>
          </cell>
          <cell r="T73">
            <v>0.15433483529422</v>
          </cell>
          <cell r="U73">
            <v>723599.066680908</v>
          </cell>
          <cell r="V73">
            <v>-0.154334835294222</v>
          </cell>
          <cell r="W73">
            <v>-1855949.2237854</v>
          </cell>
          <cell r="X73">
            <v>0</v>
          </cell>
          <cell r="Y73">
            <v>0.226861907030994</v>
          </cell>
          <cell r="Z73">
            <v>-234869.833557129</v>
          </cell>
          <cell r="AA73">
            <v>-2606138.7497406</v>
          </cell>
          <cell r="AB73">
            <v>-9306202.35374069</v>
          </cell>
          <cell r="AC73">
            <v>-2606138.7497406</v>
          </cell>
          <cell r="AD73">
            <v>-2.50588499336138</v>
          </cell>
          <cell r="AE73">
            <v>0</v>
          </cell>
        </row>
        <row r="74">
          <cell r="A74" t="str">
            <v>Total US - Rainbow</v>
          </cell>
          <cell r="B74" t="str">
            <v>Total US - GroceryX</v>
          </cell>
          <cell r="C74">
            <v>121171760.292236</v>
          </cell>
          <cell r="D74">
            <v>0</v>
          </cell>
          <cell r="E74">
            <v>0</v>
          </cell>
          <cell r="F74">
            <v>0</v>
          </cell>
          <cell r="G74">
            <v>0</v>
          </cell>
          <cell r="H74">
            <v>61518209.9918823</v>
          </cell>
          <cell r="I74" t="str">
            <v>GroceryX</v>
          </cell>
          <cell r="J74">
            <v>0</v>
          </cell>
          <cell r="K74">
            <v>0</v>
          </cell>
          <cell r="L74">
            <v>0</v>
          </cell>
          <cell r="M74">
            <v>0</v>
          </cell>
          <cell r="N74">
            <v>0</v>
          </cell>
          <cell r="O74">
            <v>0</v>
          </cell>
          <cell r="P74">
            <v>0</v>
          </cell>
          <cell r="Q74">
            <v>0</v>
          </cell>
          <cell r="R74">
            <v>1017625.85098267</v>
          </cell>
          <cell r="S74">
            <v>0</v>
          </cell>
          <cell r="T74">
            <v>0</v>
          </cell>
          <cell r="U74">
            <v>0</v>
          </cell>
          <cell r="V74">
            <v>0</v>
          </cell>
          <cell r="W74">
            <v>-1855949.2237854</v>
          </cell>
          <cell r="X74">
            <v>0</v>
          </cell>
          <cell r="Y74">
            <v>0</v>
          </cell>
          <cell r="Z74">
            <v>0</v>
          </cell>
          <cell r="AA74">
            <v>0</v>
          </cell>
          <cell r="AB74">
            <v>0</v>
          </cell>
          <cell r="AC74">
            <v>0</v>
          </cell>
          <cell r="AD74">
            <v>0</v>
          </cell>
          <cell r="AE74">
            <v>0</v>
          </cell>
        </row>
        <row r="75">
          <cell r="A75" t="str">
            <v>Total US - Raleys</v>
          </cell>
          <cell r="B75" t="str">
            <v>Total US - GroceryX</v>
          </cell>
          <cell r="C75">
            <v>121171760.292236</v>
          </cell>
          <cell r="D75">
            <v>1491139.29217529</v>
          </cell>
          <cell r="E75">
            <v>1.23059967815854</v>
          </cell>
          <cell r="F75">
            <v>119680621.000061</v>
          </cell>
          <cell r="G75">
            <v>98.7694003218415</v>
          </cell>
          <cell r="H75">
            <v>61518209.9918823</v>
          </cell>
          <cell r="I75" t="str">
            <v>GroceryX</v>
          </cell>
          <cell r="J75">
            <v>99.7619196730326</v>
          </cell>
          <cell r="K75">
            <v>146462.755493164</v>
          </cell>
          <cell r="L75">
            <v>0</v>
          </cell>
          <cell r="M75">
            <v>1266341.81838989</v>
          </cell>
          <cell r="N75">
            <v>0</v>
          </cell>
          <cell r="O75">
            <v>15.189573504062</v>
          </cell>
          <cell r="P75">
            <v>266697.084486387</v>
          </cell>
          <cell r="Q75">
            <v>0</v>
          </cell>
          <cell r="R75">
            <v>1017625.85098267</v>
          </cell>
          <cell r="S75">
            <v>-6341.3440246582</v>
          </cell>
          <cell r="T75">
            <v>-0.0157000377551986</v>
          </cell>
          <cell r="U75">
            <v>1023967.19500732</v>
          </cell>
          <cell r="V75">
            <v>0.0157000377551952</v>
          </cell>
          <cell r="W75">
            <v>-1855949.2237854</v>
          </cell>
          <cell r="X75">
            <v>0</v>
          </cell>
          <cell r="Y75">
            <v>-0.0134825003223966</v>
          </cell>
          <cell r="Z75">
            <v>4125.77124023438</v>
          </cell>
          <cell r="AA75">
            <v>0</v>
          </cell>
          <cell r="AB75">
            <v>352200.748886108</v>
          </cell>
          <cell r="AC75">
            <v>0</v>
          </cell>
          <cell r="AD75">
            <v>0.0108066738741712</v>
          </cell>
          <cell r="AE75">
            <v>0</v>
          </cell>
        </row>
        <row r="76">
          <cell r="A76" t="str">
            <v>Total US - Ralphs</v>
          </cell>
          <cell r="B76" t="str">
            <v>Total US - GroceryX</v>
          </cell>
          <cell r="C76">
            <v>121171760.292236</v>
          </cell>
          <cell r="D76">
            <v>3928544.53900146</v>
          </cell>
          <cell r="E76">
            <v>3.24212880090773</v>
          </cell>
          <cell r="F76">
            <v>117243215.753235</v>
          </cell>
          <cell r="G76">
            <v>96.7578711990923</v>
          </cell>
          <cell r="H76">
            <v>61518209.9918823</v>
          </cell>
          <cell r="I76" t="str">
            <v>GroceryX</v>
          </cell>
          <cell r="J76">
            <v>98.7917472734951</v>
          </cell>
          <cell r="K76">
            <v>743295.449523926</v>
          </cell>
          <cell r="L76">
            <v>4003775.508255</v>
          </cell>
          <cell r="M76">
            <v>6372138.0894928</v>
          </cell>
          <cell r="N76">
            <v>4003775.508255</v>
          </cell>
          <cell r="O76">
            <v>28.9587895382533</v>
          </cell>
          <cell r="P76">
            <v>721924.660134586</v>
          </cell>
          <cell r="Q76">
            <v>0</v>
          </cell>
          <cell r="R76">
            <v>1017625.85098267</v>
          </cell>
          <cell r="S76">
            <v>47577.5570068359</v>
          </cell>
          <cell r="T76">
            <v>0.012138422264425</v>
          </cell>
          <cell r="U76">
            <v>970048.29397583</v>
          </cell>
          <cell r="V76">
            <v>-0.0121384222644281</v>
          </cell>
          <cell r="W76">
            <v>-1855949.2237854</v>
          </cell>
          <cell r="X76">
            <v>0</v>
          </cell>
          <cell r="Y76">
            <v>0.123813513959917</v>
          </cell>
          <cell r="Z76">
            <v>-100890.330566406</v>
          </cell>
          <cell r="AA76">
            <v>-696148.36088562</v>
          </cell>
          <cell r="AB76">
            <v>-590344.283126831</v>
          </cell>
          <cell r="AC76">
            <v>-696148.36088562</v>
          </cell>
          <cell r="AD76">
            <v>-0.375602239569162</v>
          </cell>
          <cell r="AE76">
            <v>0</v>
          </cell>
        </row>
        <row r="77">
          <cell r="A77" t="str">
            <v>Total US - Randalls</v>
          </cell>
          <cell r="B77" t="str">
            <v>Total US - GroceryX</v>
          </cell>
          <cell r="C77">
            <v>121171760.292236</v>
          </cell>
          <cell r="D77">
            <v>888838.193847656</v>
          </cell>
          <cell r="E77">
            <v>0.733535760893461</v>
          </cell>
          <cell r="F77">
            <v>120282922.098389</v>
          </cell>
          <cell r="G77">
            <v>99.2664642391065</v>
          </cell>
          <cell r="H77">
            <v>61518209.9918823</v>
          </cell>
          <cell r="I77" t="str">
            <v>GroceryX</v>
          </cell>
          <cell r="J77">
            <v>99.804012825982</v>
          </cell>
          <cell r="K77">
            <v>120567.801269531</v>
          </cell>
          <cell r="L77">
            <v>0</v>
          </cell>
          <cell r="M77">
            <v>0</v>
          </cell>
          <cell r="N77">
            <v>0</v>
          </cell>
          <cell r="O77">
            <v>18.9023354816775</v>
          </cell>
          <cell r="P77">
            <v>160692.802937991</v>
          </cell>
          <cell r="Q77">
            <v>0</v>
          </cell>
          <cell r="R77">
            <v>1017625.85098267</v>
          </cell>
          <cell r="S77">
            <v>2208.15344238281</v>
          </cell>
          <cell r="T77">
            <v>-0.0043747941850818</v>
          </cell>
          <cell r="U77">
            <v>1015417.69754028</v>
          </cell>
          <cell r="V77">
            <v>0.00437479418508246</v>
          </cell>
          <cell r="W77">
            <v>-1855949.2237854</v>
          </cell>
          <cell r="X77">
            <v>0</v>
          </cell>
          <cell r="Y77">
            <v>0.0121153234369302</v>
          </cell>
          <cell r="Z77">
            <v>-11315.4067993164</v>
          </cell>
          <cell r="AA77">
            <v>0</v>
          </cell>
          <cell r="AB77">
            <v>0</v>
          </cell>
          <cell r="AC77">
            <v>0</v>
          </cell>
          <cell r="AD77">
            <v>-0.484250708261158</v>
          </cell>
          <cell r="AE77">
            <v>0</v>
          </cell>
        </row>
        <row r="78">
          <cell r="A78" t="str">
            <v>Total US - Redners Markets</v>
          </cell>
          <cell r="B78" t="str">
            <v>Total US - GroceryX</v>
          </cell>
          <cell r="C78">
            <v>121171760.292236</v>
          </cell>
          <cell r="D78">
            <v>874541.877746582</v>
          </cell>
          <cell r="E78">
            <v>0.721737371510823</v>
          </cell>
          <cell r="F78">
            <v>120297218.41449</v>
          </cell>
          <cell r="G78">
            <v>99.2782626284892</v>
          </cell>
          <cell r="H78">
            <v>61518209.9918823</v>
          </cell>
          <cell r="I78" t="str">
            <v>GroceryX</v>
          </cell>
          <cell r="J78">
            <v>99.8347359399282</v>
          </cell>
          <cell r="K78">
            <v>101667.491516113</v>
          </cell>
          <cell r="L78">
            <v>0</v>
          </cell>
          <cell r="M78">
            <v>1349132.98492432</v>
          </cell>
          <cell r="N78">
            <v>0</v>
          </cell>
          <cell r="O78">
            <v>28.244335240934</v>
          </cell>
          <cell r="P78">
            <v>159200.081021319</v>
          </cell>
          <cell r="Q78">
            <v>0</v>
          </cell>
          <cell r="R78">
            <v>1017625.85098267</v>
          </cell>
          <cell r="S78">
            <v>-70837.3934936523</v>
          </cell>
          <cell r="T78">
            <v>-0.0650680727100361</v>
          </cell>
          <cell r="U78">
            <v>1088463.24447632</v>
          </cell>
          <cell r="V78">
            <v>0.0650680727100337</v>
          </cell>
          <cell r="W78">
            <v>-1855949.2237854</v>
          </cell>
          <cell r="X78">
            <v>0</v>
          </cell>
          <cell r="Y78">
            <v>0.00227823227268686</v>
          </cell>
          <cell r="Z78">
            <v>-4511.02758789063</v>
          </cell>
          <cell r="AA78">
            <v>0</v>
          </cell>
          <cell r="AB78">
            <v>57416.4068908691</v>
          </cell>
          <cell r="AC78">
            <v>0</v>
          </cell>
          <cell r="AD78">
            <v>3.23007531576835</v>
          </cell>
          <cell r="AE78">
            <v>0</v>
          </cell>
        </row>
        <row r="79">
          <cell r="A79" t="str">
            <v>Total US - Safeway</v>
          </cell>
          <cell r="B79" t="str">
            <v>Total US - GroceryX</v>
          </cell>
          <cell r="C79">
            <v>121171760.292236</v>
          </cell>
          <cell r="D79">
            <v>12586133.8451233</v>
          </cell>
          <cell r="E79">
            <v>10.387019066793</v>
          </cell>
          <cell r="F79">
            <v>108585626.447113</v>
          </cell>
          <cell r="G79">
            <v>89.612980933207</v>
          </cell>
          <cell r="H79">
            <v>61518209.9918823</v>
          </cell>
          <cell r="I79" t="str">
            <v>GroceryX</v>
          </cell>
          <cell r="J79">
            <v>97.1203305831684</v>
          </cell>
          <cell r="K79">
            <v>1771521.07891846</v>
          </cell>
          <cell r="L79">
            <v>5644189.27176666</v>
          </cell>
          <cell r="M79">
            <v>17293796.6578331</v>
          </cell>
          <cell r="N79">
            <v>5644189.27176666</v>
          </cell>
          <cell r="O79">
            <v>25.3296214975879</v>
          </cell>
          <cell r="P79">
            <v>2537624.50858841</v>
          </cell>
          <cell r="Q79">
            <v>0</v>
          </cell>
          <cell r="R79">
            <v>1017625.85098267</v>
          </cell>
          <cell r="S79">
            <v>-119278.275817871</v>
          </cell>
          <cell r="T79">
            <v>-0.187242218533939</v>
          </cell>
          <cell r="U79">
            <v>1136904.12680054</v>
          </cell>
          <cell r="V79">
            <v>0.187242218533953</v>
          </cell>
          <cell r="W79">
            <v>-1855949.2237854</v>
          </cell>
          <cell r="X79">
            <v>0</v>
          </cell>
          <cell r="Y79">
            <v>0.739950771290538</v>
          </cell>
          <cell r="Z79">
            <v>-522382.782104492</v>
          </cell>
          <cell r="AA79">
            <v>-3755937.1738205</v>
          </cell>
          <cell r="AB79">
            <v>-8661259.76702499</v>
          </cell>
          <cell r="AC79">
            <v>-3755937.1738205</v>
          </cell>
          <cell r="AD79">
            <v>-4.81332910260542</v>
          </cell>
          <cell r="AE79">
            <v>0</v>
          </cell>
        </row>
        <row r="80">
          <cell r="A80" t="str">
            <v>Total US - Save A Lot</v>
          </cell>
          <cell r="B80" t="str">
            <v>Total US - GroceryX</v>
          </cell>
          <cell r="C80">
            <v>121171760.292236</v>
          </cell>
          <cell r="D80">
            <v>9656065.7350769</v>
          </cell>
          <cell r="E80">
            <v>7.96890769911146</v>
          </cell>
          <cell r="F80">
            <v>111515694.557159</v>
          </cell>
          <cell r="G80">
            <v>92.0310923008885</v>
          </cell>
          <cell r="H80">
            <v>61518209.9918823</v>
          </cell>
          <cell r="I80" t="str">
            <v>GroceryX</v>
          </cell>
          <cell r="J80">
            <v>99.8240433754526</v>
          </cell>
          <cell r="K80">
            <v>108245.365783691</v>
          </cell>
          <cell r="L80">
            <v>0</v>
          </cell>
          <cell r="M80">
            <v>786723.850179672</v>
          </cell>
          <cell r="N80">
            <v>0</v>
          </cell>
          <cell r="O80">
            <v>4.12523863455452</v>
          </cell>
          <cell r="P80">
            <v>646540.493421333</v>
          </cell>
          <cell r="Q80">
            <v>0</v>
          </cell>
          <cell r="R80">
            <v>1017625.85098267</v>
          </cell>
          <cell r="S80">
            <v>-327154.642059326</v>
          </cell>
          <cell r="T80">
            <v>-0.339770502900203</v>
          </cell>
          <cell r="U80">
            <v>1344780.49304199</v>
          </cell>
          <cell r="V80">
            <v>0.339770502900208</v>
          </cell>
          <cell r="W80">
            <v>-1855949.2237854</v>
          </cell>
          <cell r="X80">
            <v>0</v>
          </cell>
          <cell r="Y80">
            <v>0.106503554339696</v>
          </cell>
          <cell r="Z80">
            <v>-70761.3977050781</v>
          </cell>
          <cell r="AA80">
            <v>0</v>
          </cell>
          <cell r="AB80">
            <v>-268566.741083145</v>
          </cell>
          <cell r="AC80">
            <v>0</v>
          </cell>
          <cell r="AD80">
            <v>-1.73669888507386</v>
          </cell>
          <cell r="AE80">
            <v>0</v>
          </cell>
        </row>
        <row r="81">
          <cell r="A81" t="str">
            <v>Total US - Save Mart</v>
          </cell>
          <cell r="B81" t="str">
            <v>Total US - GroceryX</v>
          </cell>
          <cell r="C81">
            <v>121171760.292236</v>
          </cell>
          <cell r="D81">
            <v>1499834.51635742</v>
          </cell>
          <cell r="E81">
            <v>1.23777562753912</v>
          </cell>
          <cell r="F81">
            <v>119671925.775879</v>
          </cell>
          <cell r="G81">
            <v>98.7622243724609</v>
          </cell>
          <cell r="H81">
            <v>61518209.9918823</v>
          </cell>
          <cell r="I81" t="str">
            <v>GroceryX</v>
          </cell>
          <cell r="J81">
            <v>99.8034286472782</v>
          </cell>
          <cell r="K81">
            <v>120927.17755127</v>
          </cell>
          <cell r="L81">
            <v>0</v>
          </cell>
          <cell r="M81">
            <v>0</v>
          </cell>
          <cell r="N81">
            <v>0</v>
          </cell>
          <cell r="O81">
            <v>13.1057994736243</v>
          </cell>
          <cell r="P81">
            <v>293702.846454759</v>
          </cell>
          <cell r="Q81">
            <v>0</v>
          </cell>
          <cell r="R81">
            <v>1017625.85098267</v>
          </cell>
          <cell r="S81">
            <v>-28431.8113708496</v>
          </cell>
          <cell r="T81">
            <v>-0.0341459212574244</v>
          </cell>
          <cell r="U81">
            <v>1046057.66235352</v>
          </cell>
          <cell r="V81">
            <v>0.0341459212574193</v>
          </cell>
          <cell r="W81">
            <v>-1855949.2237854</v>
          </cell>
          <cell r="X81">
            <v>0</v>
          </cell>
          <cell r="Y81">
            <v>0.104585806486313</v>
          </cell>
          <cell r="Z81">
            <v>-69928.6400146484</v>
          </cell>
          <cell r="AA81">
            <v>0</v>
          </cell>
          <cell r="AB81">
            <v>0</v>
          </cell>
          <cell r="AC81">
            <v>0</v>
          </cell>
          <cell r="AD81">
            <v>-3.68512111845875</v>
          </cell>
          <cell r="AE81">
            <v>0</v>
          </cell>
        </row>
        <row r="82">
          <cell r="A82" t="str">
            <v>Total US - Schnucks</v>
          </cell>
          <cell r="B82" t="str">
            <v>Total US - GroceryX</v>
          </cell>
          <cell r="C82">
            <v>121171760.292236</v>
          </cell>
          <cell r="D82">
            <v>1638034.86279297</v>
          </cell>
          <cell r="E82">
            <v>1.35182889052898</v>
          </cell>
          <cell r="F82">
            <v>119533725.429443</v>
          </cell>
          <cell r="G82">
            <v>98.648171109471</v>
          </cell>
          <cell r="H82">
            <v>61518209.9918823</v>
          </cell>
          <cell r="I82" t="str">
            <v>GroceryX</v>
          </cell>
          <cell r="J82">
            <v>99.6490601701224</v>
          </cell>
          <cell r="K82">
            <v>215891.901489258</v>
          </cell>
          <cell r="L82">
            <v>0</v>
          </cell>
          <cell r="M82">
            <v>2263680.30813599</v>
          </cell>
          <cell r="N82">
            <v>0</v>
          </cell>
          <cell r="O82">
            <v>23.5805568820646</v>
          </cell>
          <cell r="P82">
            <v>254522.498587304</v>
          </cell>
          <cell r="Q82">
            <v>0</v>
          </cell>
          <cell r="R82">
            <v>1017625.85098267</v>
          </cell>
          <cell r="S82">
            <v>-39293.6895141602</v>
          </cell>
          <cell r="T82">
            <v>-0.044151830490005</v>
          </cell>
          <cell r="U82">
            <v>1056919.54049683</v>
          </cell>
          <cell r="V82">
            <v>0.0441518304900086</v>
          </cell>
          <cell r="W82">
            <v>-1855949.2237854</v>
          </cell>
          <cell r="X82">
            <v>0</v>
          </cell>
          <cell r="Y82">
            <v>0.047794834174951</v>
          </cell>
          <cell r="Z82">
            <v>-36802.8393554688</v>
          </cell>
          <cell r="AA82">
            <v>0</v>
          </cell>
          <cell r="AB82">
            <v>-288522.914299011</v>
          </cell>
          <cell r="AC82">
            <v>0</v>
          </cell>
          <cell r="AD82">
            <v>-1.87680219213592</v>
          </cell>
          <cell r="AE82">
            <v>0</v>
          </cell>
        </row>
        <row r="83">
          <cell r="A83" t="str">
            <v>Total US - Shaws</v>
          </cell>
          <cell r="B83" t="str">
            <v>Total US - GroceryX</v>
          </cell>
          <cell r="C83">
            <v>121171760.292236</v>
          </cell>
          <cell r="D83">
            <v>2286847.35144043</v>
          </cell>
          <cell r="E83">
            <v>1.88727748604553</v>
          </cell>
          <cell r="F83">
            <v>118884912.940796</v>
          </cell>
          <cell r="G83">
            <v>98.1127225139545</v>
          </cell>
          <cell r="H83">
            <v>61518209.9918823</v>
          </cell>
          <cell r="I83" t="str">
            <v>GroceryX</v>
          </cell>
          <cell r="J83">
            <v>99.4180448879004</v>
          </cell>
          <cell r="K83">
            <v>358008.367919922</v>
          </cell>
          <cell r="L83">
            <v>0</v>
          </cell>
          <cell r="M83">
            <v>3152132.91743469</v>
          </cell>
          <cell r="N83">
            <v>0</v>
          </cell>
          <cell r="O83">
            <v>31.9538840210669</v>
          </cell>
          <cell r="P83">
            <v>379889.614043966</v>
          </cell>
          <cell r="Q83">
            <v>0</v>
          </cell>
          <cell r="R83">
            <v>1017625.85098267</v>
          </cell>
          <cell r="S83">
            <v>-168149.018432617</v>
          </cell>
          <cell r="T83">
            <v>-0.155928418844376</v>
          </cell>
          <cell r="U83">
            <v>1185774.86941528</v>
          </cell>
          <cell r="V83">
            <v>0.155928418844368</v>
          </cell>
          <cell r="W83">
            <v>-1855949.2237854</v>
          </cell>
          <cell r="X83">
            <v>0</v>
          </cell>
          <cell r="Y83">
            <v>-0.0387145621604787</v>
          </cell>
          <cell r="Z83">
            <v>13734.2368774414</v>
          </cell>
          <cell r="AA83">
            <v>0</v>
          </cell>
          <cell r="AB83">
            <v>-176291.255844116</v>
          </cell>
          <cell r="AC83">
            <v>0</v>
          </cell>
          <cell r="AD83">
            <v>0.915728557604982</v>
          </cell>
          <cell r="AE83">
            <v>0</v>
          </cell>
        </row>
        <row r="84">
          <cell r="A84" t="str">
            <v>Total US - Shop N Save</v>
          </cell>
          <cell r="B84" t="str">
            <v>Total US - GroceryX</v>
          </cell>
          <cell r="C84">
            <v>121171760.292236</v>
          </cell>
          <cell r="D84">
            <v>832451.357116699</v>
          </cell>
          <cell r="E84">
            <v>0.687001125599754</v>
          </cell>
          <cell r="F84">
            <v>120339308.93512</v>
          </cell>
          <cell r="G84">
            <v>99.3129988744003</v>
          </cell>
          <cell r="H84">
            <v>61518209.9918823</v>
          </cell>
          <cell r="I84" t="str">
            <v>GroceryX</v>
          </cell>
          <cell r="J84">
            <v>99.7841751156148</v>
          </cell>
          <cell r="K84">
            <v>132771.60559082</v>
          </cell>
          <cell r="L84">
            <v>0</v>
          </cell>
          <cell r="M84">
            <v>967988.243804932</v>
          </cell>
          <cell r="N84">
            <v>0</v>
          </cell>
          <cell r="O84">
            <v>22.4132412207099</v>
          </cell>
          <cell r="P84">
            <v>130602.883539479</v>
          </cell>
          <cell r="Q84">
            <v>0</v>
          </cell>
          <cell r="R84">
            <v>1017625.85098267</v>
          </cell>
          <cell r="S84">
            <v>-22056.0302124023</v>
          </cell>
          <cell r="T84">
            <v>-0.0241748911913215</v>
          </cell>
          <cell r="U84">
            <v>1039681.88119507</v>
          </cell>
          <cell r="V84">
            <v>0.024174891191322</v>
          </cell>
          <cell r="W84">
            <v>-1855949.2237854</v>
          </cell>
          <cell r="X84">
            <v>0</v>
          </cell>
          <cell r="Y84">
            <v>0.0208092134712103</v>
          </cell>
          <cell r="Z84">
            <v>-17193.2643432617</v>
          </cell>
          <cell r="AA84">
            <v>0</v>
          </cell>
          <cell r="AB84">
            <v>-688063.853134155</v>
          </cell>
          <cell r="AC84">
            <v>0</v>
          </cell>
          <cell r="AD84">
            <v>-2.1052959980648</v>
          </cell>
          <cell r="AE84">
            <v>0</v>
          </cell>
        </row>
        <row r="85">
          <cell r="A85" t="str">
            <v>Total US - Shop Rite</v>
          </cell>
          <cell r="B85" t="str">
            <v>Total US - GroceryX</v>
          </cell>
          <cell r="C85">
            <v>121171760.292236</v>
          </cell>
          <cell r="D85">
            <v>7402749.77325439</v>
          </cell>
          <cell r="E85">
            <v>6.10930282385994</v>
          </cell>
          <cell r="F85">
            <v>113769010.518982</v>
          </cell>
          <cell r="G85">
            <v>93.8906971761401</v>
          </cell>
          <cell r="H85">
            <v>61518209.9918823</v>
          </cell>
          <cell r="I85" t="str">
            <v>GroceryX</v>
          </cell>
          <cell r="J85">
            <v>96.0793225106172</v>
          </cell>
          <cell r="K85">
            <v>2411930.61102295</v>
          </cell>
          <cell r="L85">
            <v>8893623.20611572</v>
          </cell>
          <cell r="M85">
            <v>49893002.499836</v>
          </cell>
          <cell r="N85">
            <v>8893623.20611572</v>
          </cell>
          <cell r="O85">
            <v>60.3427741433036</v>
          </cell>
          <cell r="P85">
            <v>2074027.34202799</v>
          </cell>
          <cell r="Q85">
            <v>0</v>
          </cell>
          <cell r="R85">
            <v>1017625.85098267</v>
          </cell>
          <cell r="S85">
            <v>201159.17791748</v>
          </cell>
          <cell r="T85">
            <v>0.115675863933774</v>
          </cell>
          <cell r="U85">
            <v>816466.673065186</v>
          </cell>
          <cell r="V85">
            <v>-0.115675863933774</v>
          </cell>
          <cell r="W85">
            <v>-1855949.2237854</v>
          </cell>
          <cell r="X85">
            <v>0</v>
          </cell>
          <cell r="Y85">
            <v>-0.0540471229883224</v>
          </cell>
          <cell r="Z85">
            <v>-38513.8736572266</v>
          </cell>
          <cell r="AA85">
            <v>-3795265.7809906</v>
          </cell>
          <cell r="AB85">
            <v>-10066591.6927147</v>
          </cell>
          <cell r="AC85">
            <v>-3795265.7809906</v>
          </cell>
          <cell r="AD85">
            <v>-0.236857861422699</v>
          </cell>
          <cell r="AE85">
            <v>0</v>
          </cell>
        </row>
        <row r="86">
          <cell r="A86" t="str">
            <v>Total US - Shoppers Food Warehouse</v>
          </cell>
          <cell r="B86" t="str">
            <v>Total US - GroceryX</v>
          </cell>
          <cell r="C86">
            <v>121171760.292236</v>
          </cell>
          <cell r="D86">
            <v>1284351.0614624</v>
          </cell>
          <cell r="E86">
            <v>1.05994256282558</v>
          </cell>
          <cell r="F86">
            <v>119887409.230774</v>
          </cell>
          <cell r="G86">
            <v>98.9400574371744</v>
          </cell>
          <cell r="H86">
            <v>61518209.9918823</v>
          </cell>
          <cell r="I86" t="str">
            <v>GroceryX</v>
          </cell>
          <cell r="J86">
            <v>99.8024657482009</v>
          </cell>
          <cell r="K86">
            <v>121519.535827637</v>
          </cell>
          <cell r="L86">
            <v>0</v>
          </cell>
          <cell r="M86">
            <v>0</v>
          </cell>
          <cell r="N86">
            <v>0</v>
          </cell>
          <cell r="O86">
            <v>14.1982161964683</v>
          </cell>
          <cell r="P86">
            <v>188162.104478978</v>
          </cell>
          <cell r="Q86">
            <v>0</v>
          </cell>
          <cell r="R86">
            <v>1017625.85098267</v>
          </cell>
          <cell r="S86">
            <v>847.352783203125</v>
          </cell>
          <cell r="T86">
            <v>-0.00827178922131688</v>
          </cell>
          <cell r="U86">
            <v>1016778.49819946</v>
          </cell>
          <cell r="V86">
            <v>0.00827178922131111</v>
          </cell>
          <cell r="W86">
            <v>-1855949.2237854</v>
          </cell>
          <cell r="X86">
            <v>0</v>
          </cell>
          <cell r="Y86">
            <v>0.00755812160572589</v>
          </cell>
          <cell r="Z86">
            <v>-8456.03143310547</v>
          </cell>
          <cell r="AA86">
            <v>0</v>
          </cell>
          <cell r="AB86">
            <v>0</v>
          </cell>
          <cell r="AC86">
            <v>0</v>
          </cell>
          <cell r="AD86">
            <v>-0.917964189743431</v>
          </cell>
          <cell r="AE86">
            <v>0</v>
          </cell>
        </row>
        <row r="87">
          <cell r="A87" t="str">
            <v>Total US - Smart &amp; Final</v>
          </cell>
          <cell r="B87" t="str">
            <v>Total US - GroceryX</v>
          </cell>
          <cell r="C87">
            <v>121171760.292236</v>
          </cell>
          <cell r="D87">
            <v>4983670.36181641</v>
          </cell>
          <cell r="E87">
            <v>4.11289755120915</v>
          </cell>
          <cell r="F87">
            <v>116188089.93042</v>
          </cell>
          <cell r="G87">
            <v>95.8871024487909</v>
          </cell>
          <cell r="H87">
            <v>61518209.9918823</v>
          </cell>
          <cell r="I87" t="str">
            <v>GroceryX</v>
          </cell>
          <cell r="J87">
            <v>99.4194529555566</v>
          </cell>
          <cell r="K87">
            <v>357142.149902344</v>
          </cell>
          <cell r="L87">
            <v>1567163.83093262</v>
          </cell>
          <cell r="M87">
            <v>4056201.3460083</v>
          </cell>
          <cell r="N87">
            <v>1567163.83093262</v>
          </cell>
          <cell r="O87">
            <v>9.91365571496238</v>
          </cell>
          <cell r="P87">
            <v>702390.222367713</v>
          </cell>
          <cell r="Q87">
            <v>0</v>
          </cell>
          <cell r="R87">
            <v>1017625.85098267</v>
          </cell>
          <cell r="S87">
            <v>504426.083251953</v>
          </cell>
          <cell r="T87">
            <v>0.384982320165253</v>
          </cell>
          <cell r="U87">
            <v>513199.767730713</v>
          </cell>
          <cell r="V87">
            <v>-0.38498232016525</v>
          </cell>
          <cell r="W87">
            <v>-1855949.2237854</v>
          </cell>
          <cell r="X87">
            <v>0</v>
          </cell>
          <cell r="Y87">
            <v>-0.119882205270642</v>
          </cell>
          <cell r="Z87">
            <v>65199.6812744141</v>
          </cell>
          <cell r="AA87">
            <v>198737.271118164</v>
          </cell>
          <cell r="AB87">
            <v>749545.241649628</v>
          </cell>
          <cell r="AC87">
            <v>198737.271118164</v>
          </cell>
          <cell r="AD87">
            <v>0.651435761029122</v>
          </cell>
          <cell r="AE87">
            <v>0</v>
          </cell>
        </row>
        <row r="88">
          <cell r="A88" t="str">
            <v>Total US - Smiths Food &amp; Drug</v>
          </cell>
          <cell r="B88" t="str">
            <v>Total US - GroceryX</v>
          </cell>
          <cell r="C88">
            <v>121171760.292236</v>
          </cell>
          <cell r="D88">
            <v>2524546.98620605</v>
          </cell>
          <cell r="E88">
            <v>2.08344500411438</v>
          </cell>
          <cell r="F88">
            <v>118647213.30603</v>
          </cell>
          <cell r="G88">
            <v>97.9165549958856</v>
          </cell>
          <cell r="H88">
            <v>61518209.9918823</v>
          </cell>
          <cell r="I88" t="str">
            <v>GroceryX</v>
          </cell>
          <cell r="J88">
            <v>99.2109625114258</v>
          </cell>
          <cell r="K88">
            <v>485401.739135742</v>
          </cell>
          <cell r="L88">
            <v>2078244.84509277</v>
          </cell>
          <cell r="M88">
            <v>5901943.52166748</v>
          </cell>
          <cell r="N88">
            <v>2078244.84509277</v>
          </cell>
          <cell r="O88">
            <v>39.7951156518398</v>
          </cell>
          <cell r="P88">
            <v>563442.189853838</v>
          </cell>
          <cell r="Q88">
            <v>0</v>
          </cell>
          <cell r="R88">
            <v>1017625.85098267</v>
          </cell>
          <cell r="S88">
            <v>-22005.8948974609</v>
          </cell>
          <cell r="T88">
            <v>-0.0359601191014041</v>
          </cell>
          <cell r="U88">
            <v>1039631.74588013</v>
          </cell>
          <cell r="V88">
            <v>0.0359601191014036</v>
          </cell>
          <cell r="W88">
            <v>-1855949.2237854</v>
          </cell>
          <cell r="X88">
            <v>0</v>
          </cell>
          <cell r="Y88">
            <v>-0.00435171290169478</v>
          </cell>
          <cell r="Z88">
            <v>-11886.2736816406</v>
          </cell>
          <cell r="AA88">
            <v>145741.615600586</v>
          </cell>
          <cell r="AB88">
            <v>-327588.769889832</v>
          </cell>
          <cell r="AC88">
            <v>145741.615600586</v>
          </cell>
          <cell r="AD88">
            <v>1.83187705100158</v>
          </cell>
          <cell r="AE88">
            <v>0</v>
          </cell>
        </row>
        <row r="89">
          <cell r="A89" t="str">
            <v>Total US - Sprouts Farmers Market</v>
          </cell>
          <cell r="B89" t="str">
            <v>Total US - GroceryX</v>
          </cell>
          <cell r="C89">
            <v>121171760.292236</v>
          </cell>
          <cell r="D89">
            <v>7411138.09381104</v>
          </cell>
          <cell r="E89">
            <v>6.11622549341299</v>
          </cell>
          <cell r="F89">
            <v>113760622.198425</v>
          </cell>
          <cell r="G89">
            <v>93.883774506587</v>
          </cell>
          <cell r="H89">
            <v>61518209.9918823</v>
          </cell>
          <cell r="I89" t="str">
            <v>GroceryX</v>
          </cell>
          <cell r="J89">
            <v>0</v>
          </cell>
          <cell r="K89">
            <v>0</v>
          </cell>
          <cell r="L89">
            <v>0</v>
          </cell>
          <cell r="M89">
            <v>0</v>
          </cell>
          <cell r="N89">
            <v>0</v>
          </cell>
          <cell r="O89">
            <v>0</v>
          </cell>
          <cell r="P89">
            <v>0</v>
          </cell>
          <cell r="Q89">
            <v>0</v>
          </cell>
          <cell r="R89">
            <v>1017625.85098267</v>
          </cell>
          <cell r="S89">
            <v>592519.549591064</v>
          </cell>
          <cell r="T89">
            <v>0.441332510388952</v>
          </cell>
          <cell r="U89">
            <v>425106.301391602</v>
          </cell>
          <cell r="V89">
            <v>-0.441332510388946</v>
          </cell>
          <cell r="W89">
            <v>-1855949.2237854</v>
          </cell>
          <cell r="X89">
            <v>0</v>
          </cell>
          <cell r="Y89">
            <v>0</v>
          </cell>
          <cell r="Z89">
            <v>0</v>
          </cell>
          <cell r="AA89">
            <v>0</v>
          </cell>
          <cell r="AB89">
            <v>0</v>
          </cell>
          <cell r="AC89">
            <v>0</v>
          </cell>
          <cell r="AD89">
            <v>0</v>
          </cell>
          <cell r="AE89">
            <v>0</v>
          </cell>
        </row>
        <row r="90">
          <cell r="A90" t="str">
            <v>Total US - Stater Brothers</v>
          </cell>
          <cell r="B90" t="str">
            <v>Total US - GroceryX</v>
          </cell>
          <cell r="C90">
            <v>121171760.292236</v>
          </cell>
          <cell r="D90">
            <v>2885524.92810059</v>
          </cell>
          <cell r="E90">
            <v>2.38135100219838</v>
          </cell>
          <cell r="F90">
            <v>118286235.364136</v>
          </cell>
          <cell r="G90">
            <v>97.6186489978016</v>
          </cell>
          <cell r="H90">
            <v>61518209.9918823</v>
          </cell>
          <cell r="I90" t="str">
            <v>GroceryX</v>
          </cell>
          <cell r="J90">
            <v>99.2278287715973</v>
          </cell>
          <cell r="K90">
            <v>475025.917785645</v>
          </cell>
          <cell r="L90">
            <v>1810588.16070557</v>
          </cell>
          <cell r="M90">
            <v>6408117.37770081</v>
          </cell>
          <cell r="N90">
            <v>1810588.16070557</v>
          </cell>
          <cell r="O90">
            <v>26.5461267121666</v>
          </cell>
          <cell r="P90">
            <v>523427.593559738</v>
          </cell>
          <cell r="Q90">
            <v>0</v>
          </cell>
          <cell r="R90">
            <v>1017625.85098267</v>
          </cell>
          <cell r="S90">
            <v>82530.6637573242</v>
          </cell>
          <cell r="T90">
            <v>0.0485188633977649</v>
          </cell>
          <cell r="U90">
            <v>935095.187225342</v>
          </cell>
          <cell r="V90">
            <v>-0.04851886339776</v>
          </cell>
          <cell r="W90">
            <v>-1855949.2237854</v>
          </cell>
          <cell r="X90">
            <v>0</v>
          </cell>
          <cell r="Y90">
            <v>0.000673062123098589</v>
          </cell>
          <cell r="Z90">
            <v>-14757.6533813477</v>
          </cell>
          <cell r="AA90">
            <v>-1260831.62484741</v>
          </cell>
          <cell r="AB90">
            <v>564726.44839859</v>
          </cell>
          <cell r="AC90">
            <v>-1260831.62484741</v>
          </cell>
          <cell r="AD90">
            <v>-0.398964697055813</v>
          </cell>
          <cell r="AE90">
            <v>0</v>
          </cell>
        </row>
        <row r="91">
          <cell r="A91" t="str">
            <v>Total US - Stop &amp; Shop</v>
          </cell>
          <cell r="B91" t="str">
            <v>Total US - GroceryX</v>
          </cell>
          <cell r="C91">
            <v>121171760.292236</v>
          </cell>
          <cell r="D91">
            <v>6925223.14776611</v>
          </cell>
          <cell r="E91">
            <v>5.71521213446449</v>
          </cell>
          <cell r="F91">
            <v>114246537.14447</v>
          </cell>
          <cell r="G91">
            <v>94.2847878655355</v>
          </cell>
          <cell r="H91">
            <v>61518209.9918823</v>
          </cell>
          <cell r="I91" t="str">
            <v>GroceryX</v>
          </cell>
          <cell r="J91">
            <v>97.5755152081902</v>
          </cell>
          <cell r="K91">
            <v>1491499.64544678</v>
          </cell>
          <cell r="L91">
            <v>4833600.98513794</v>
          </cell>
          <cell r="M91">
            <v>19418185.9652767</v>
          </cell>
          <cell r="N91">
            <v>4833600.98513794</v>
          </cell>
          <cell r="O91">
            <v>40.0797288709206</v>
          </cell>
          <cell r="P91">
            <v>1542141.83951348</v>
          </cell>
          <cell r="Q91">
            <v>0</v>
          </cell>
          <cell r="R91">
            <v>1017625.85098267</v>
          </cell>
          <cell r="S91">
            <v>-64275.2537231445</v>
          </cell>
          <cell r="T91">
            <v>-0.101898058199416</v>
          </cell>
          <cell r="U91">
            <v>1081901.10470581</v>
          </cell>
          <cell r="V91">
            <v>0.10189805819941</v>
          </cell>
          <cell r="W91">
            <v>-1855949.2237854</v>
          </cell>
          <cell r="X91">
            <v>0</v>
          </cell>
          <cell r="Y91">
            <v>0.412160795126837</v>
          </cell>
          <cell r="Z91">
            <v>-306200.645202637</v>
          </cell>
          <cell r="AA91">
            <v>-4703825.48635101</v>
          </cell>
          <cell r="AB91">
            <v>-4923585.5430088</v>
          </cell>
          <cell r="AC91">
            <v>-4703825.48635101</v>
          </cell>
          <cell r="AD91">
            <v>-5.76201825428542</v>
          </cell>
          <cell r="AE91">
            <v>0</v>
          </cell>
        </row>
        <row r="92">
          <cell r="A92" t="str">
            <v>Total US - Sweetbay Supermarket</v>
          </cell>
          <cell r="B92" t="str">
            <v>Total US - GroceryX</v>
          </cell>
          <cell r="C92">
            <v>121171760.292236</v>
          </cell>
          <cell r="D92">
            <v>0</v>
          </cell>
          <cell r="E92">
            <v>0</v>
          </cell>
          <cell r="F92">
            <v>0</v>
          </cell>
          <cell r="G92">
            <v>0</v>
          </cell>
          <cell r="H92">
            <v>61518209.9918823</v>
          </cell>
          <cell r="I92" t="str">
            <v>GroceryX</v>
          </cell>
          <cell r="J92">
            <v>0</v>
          </cell>
          <cell r="K92">
            <v>0</v>
          </cell>
          <cell r="L92">
            <v>0</v>
          </cell>
          <cell r="M92">
            <v>0</v>
          </cell>
          <cell r="N92">
            <v>0</v>
          </cell>
          <cell r="O92">
            <v>0</v>
          </cell>
          <cell r="P92">
            <v>0</v>
          </cell>
          <cell r="Q92">
            <v>0</v>
          </cell>
          <cell r="R92">
            <v>1017625.85098267</v>
          </cell>
          <cell r="S92">
            <v>0</v>
          </cell>
          <cell r="T92">
            <v>0</v>
          </cell>
          <cell r="U92">
            <v>0</v>
          </cell>
          <cell r="V92">
            <v>0</v>
          </cell>
          <cell r="W92">
            <v>-1855949.2237854</v>
          </cell>
          <cell r="X92">
            <v>0</v>
          </cell>
          <cell r="Y92">
            <v>0</v>
          </cell>
          <cell r="Z92">
            <v>0</v>
          </cell>
          <cell r="AA92">
            <v>0</v>
          </cell>
          <cell r="AB92">
            <v>0</v>
          </cell>
          <cell r="AC92">
            <v>0</v>
          </cell>
          <cell r="AD92">
            <v>0</v>
          </cell>
          <cell r="AE92">
            <v>0</v>
          </cell>
        </row>
        <row r="93">
          <cell r="A93" t="str">
            <v>Total US - Tom Thumb</v>
          </cell>
          <cell r="B93" t="str">
            <v>Total US - GroceryX</v>
          </cell>
          <cell r="C93">
            <v>121171760.292236</v>
          </cell>
          <cell r="D93">
            <v>929408.066162109</v>
          </cell>
          <cell r="E93">
            <v>0.767017054073166</v>
          </cell>
          <cell r="F93">
            <v>120242352.226074</v>
          </cell>
          <cell r="G93">
            <v>99.2329829459268</v>
          </cell>
          <cell r="H93">
            <v>61518209.9918823</v>
          </cell>
          <cell r="I93" t="str">
            <v>GroceryX</v>
          </cell>
          <cell r="J93">
            <v>99.8095207455649</v>
          </cell>
          <cell r="K93">
            <v>117179.427734375</v>
          </cell>
          <cell r="L93">
            <v>0</v>
          </cell>
          <cell r="M93">
            <v>0</v>
          </cell>
          <cell r="N93">
            <v>0</v>
          </cell>
          <cell r="O93">
            <v>20.3541612154375</v>
          </cell>
          <cell r="P93">
            <v>251338.639311686</v>
          </cell>
          <cell r="Q93">
            <v>0</v>
          </cell>
          <cell r="R93">
            <v>1017625.85098267</v>
          </cell>
          <cell r="S93">
            <v>-59435.8521728516</v>
          </cell>
          <cell r="T93">
            <v>-0.0559624654692359</v>
          </cell>
          <cell r="U93">
            <v>1077061.70315552</v>
          </cell>
          <cell r="V93">
            <v>0.0559624654692357</v>
          </cell>
          <cell r="W93">
            <v>-1855949.2237854</v>
          </cell>
          <cell r="X93">
            <v>0</v>
          </cell>
          <cell r="Y93">
            <v>0.0612117596942454</v>
          </cell>
          <cell r="Z93">
            <v>-42327.6362915039</v>
          </cell>
          <cell r="AA93">
            <v>0</v>
          </cell>
          <cell r="AB93">
            <v>0</v>
          </cell>
          <cell r="AC93">
            <v>0</v>
          </cell>
          <cell r="AD93">
            <v>-3.50574575501345</v>
          </cell>
          <cell r="AE93">
            <v>0</v>
          </cell>
        </row>
        <row r="94">
          <cell r="A94" t="str">
            <v>Total US - Tops</v>
          </cell>
          <cell r="B94" t="str">
            <v>Total US - GroceryX</v>
          </cell>
          <cell r="C94">
            <v>121171760.292236</v>
          </cell>
          <cell r="D94">
            <v>1555837.96325684</v>
          </cell>
          <cell r="E94">
            <v>1.28399386086704</v>
          </cell>
          <cell r="F94">
            <v>119615922.328979</v>
          </cell>
          <cell r="G94">
            <v>98.716006139133</v>
          </cell>
          <cell r="H94">
            <v>61518209.9918823</v>
          </cell>
          <cell r="I94" t="str">
            <v>GroceryX</v>
          </cell>
          <cell r="J94">
            <v>99.4848697583197</v>
          </cell>
          <cell r="K94">
            <v>316898.903808594</v>
          </cell>
          <cell r="L94">
            <v>0</v>
          </cell>
          <cell r="M94">
            <v>4787853.6779213</v>
          </cell>
          <cell r="N94">
            <v>0</v>
          </cell>
          <cell r="O94">
            <v>40.2448215629572</v>
          </cell>
          <cell r="P94">
            <v>360108.694349939</v>
          </cell>
          <cell r="Q94">
            <v>0</v>
          </cell>
          <cell r="R94">
            <v>1017625.85098267</v>
          </cell>
          <cell r="S94">
            <v>-35271.9302368164</v>
          </cell>
          <cell r="T94">
            <v>-0.0402301459827532</v>
          </cell>
          <cell r="U94">
            <v>1052897.78121948</v>
          </cell>
          <cell r="V94">
            <v>0.040230145982747</v>
          </cell>
          <cell r="W94">
            <v>-1855949.2237854</v>
          </cell>
          <cell r="X94">
            <v>0</v>
          </cell>
          <cell r="Y94">
            <v>0.109544323825034</v>
          </cell>
          <cell r="Z94">
            <v>-78983.3499145508</v>
          </cell>
          <cell r="AA94">
            <v>0</v>
          </cell>
          <cell r="AB94">
            <v>-1566353.72393417</v>
          </cell>
          <cell r="AC94">
            <v>0</v>
          </cell>
          <cell r="AD94">
            <v>-5.85580459166651</v>
          </cell>
          <cell r="AE94">
            <v>0</v>
          </cell>
        </row>
        <row r="95">
          <cell r="A95" t="str">
            <v>Total US - Trader Joes</v>
          </cell>
          <cell r="B95" t="str">
            <v>Total US - GroceryX</v>
          </cell>
          <cell r="C95">
            <v>121171760.292236</v>
          </cell>
          <cell r="D95">
            <v>14800811.912262</v>
          </cell>
          <cell r="E95">
            <v>12.2147370613137</v>
          </cell>
          <cell r="F95">
            <v>106370948.379974</v>
          </cell>
          <cell r="G95">
            <v>87.7852629386863</v>
          </cell>
          <cell r="H95">
            <v>61518209.9918823</v>
          </cell>
          <cell r="I95" t="str">
            <v>GroceryX</v>
          </cell>
          <cell r="J95">
            <v>99.6583601391889</v>
          </cell>
          <cell r="K95">
            <v>210170.726989746</v>
          </cell>
          <cell r="L95">
            <v>0</v>
          </cell>
          <cell r="M95">
            <v>674171.487098694</v>
          </cell>
          <cell r="N95">
            <v>0</v>
          </cell>
          <cell r="O95">
            <v>1.91200676002488</v>
          </cell>
          <cell r="P95">
            <v>1434604.39813079</v>
          </cell>
          <cell r="Q95">
            <v>0</v>
          </cell>
          <cell r="R95">
            <v>1017625.85098267</v>
          </cell>
          <cell r="S95">
            <v>564755.94329834</v>
          </cell>
          <cell r="T95">
            <v>0.366575501859407</v>
          </cell>
          <cell r="U95">
            <v>452869.907684326</v>
          </cell>
          <cell r="V95">
            <v>-0.366575501859415</v>
          </cell>
          <cell r="W95">
            <v>-1855949.2237854</v>
          </cell>
          <cell r="X95">
            <v>0</v>
          </cell>
          <cell r="Y95">
            <v>-0.0872656172043804</v>
          </cell>
          <cell r="Z95">
            <v>48963.1888427734</v>
          </cell>
          <cell r="AA95">
            <v>0</v>
          </cell>
          <cell r="AB95">
            <v>-285247.09078598</v>
          </cell>
          <cell r="AC95">
            <v>0</v>
          </cell>
          <cell r="AD95">
            <v>0.158113114502253</v>
          </cell>
          <cell r="AE95">
            <v>0</v>
          </cell>
        </row>
        <row r="96">
          <cell r="A96" t="str">
            <v>Total US - Vons</v>
          </cell>
          <cell r="B96" t="str">
            <v>Total US - GroceryX</v>
          </cell>
          <cell r="C96">
            <v>121171760.292236</v>
          </cell>
          <cell r="D96">
            <v>4292037.90789795</v>
          </cell>
          <cell r="E96">
            <v>3.54211071750267</v>
          </cell>
          <cell r="F96">
            <v>116879722.384338</v>
          </cell>
          <cell r="G96">
            <v>96.4578892824973</v>
          </cell>
          <cell r="H96">
            <v>61518209.9918823</v>
          </cell>
          <cell r="I96" t="str">
            <v>GroceryX</v>
          </cell>
          <cell r="J96">
            <v>98.9932663486971</v>
          </cell>
          <cell r="K96">
            <v>619324.52166748</v>
          </cell>
          <cell r="L96">
            <v>3427871.25872803</v>
          </cell>
          <cell r="M96">
            <v>4720912.22655487</v>
          </cell>
          <cell r="N96">
            <v>3427871.25872803</v>
          </cell>
          <cell r="O96">
            <v>21.2137412373858</v>
          </cell>
          <cell r="P96">
            <v>969051.71153091</v>
          </cell>
          <cell r="Q96">
            <v>0</v>
          </cell>
          <cell r="R96">
            <v>1017625.85098267</v>
          </cell>
          <cell r="S96">
            <v>-92329.8456420898</v>
          </cell>
          <cell r="T96">
            <v>-0.106842166164985</v>
          </cell>
          <cell r="U96">
            <v>1109955.69662476</v>
          </cell>
          <cell r="V96">
            <v>0.106842166164995</v>
          </cell>
          <cell r="W96">
            <v>-1855949.2237854</v>
          </cell>
          <cell r="X96">
            <v>0</v>
          </cell>
          <cell r="Y96">
            <v>0.322689296323688</v>
          </cell>
          <cell r="Z96">
            <v>-223186.093811035</v>
          </cell>
          <cell r="AA96">
            <v>-939894.248321533</v>
          </cell>
          <cell r="AB96">
            <v>-2273443.15398407</v>
          </cell>
          <cell r="AC96">
            <v>-939894.248321533</v>
          </cell>
          <cell r="AD96">
            <v>-5.25305097326399</v>
          </cell>
          <cell r="AE96">
            <v>0</v>
          </cell>
        </row>
        <row r="97">
          <cell r="A97" t="str">
            <v>Total US - Wegmans</v>
          </cell>
          <cell r="B97" t="str">
            <v>Total US - GroceryX</v>
          </cell>
          <cell r="C97">
            <v>121171760.292236</v>
          </cell>
          <cell r="D97">
            <v>3741689.43341064</v>
          </cell>
          <cell r="E97">
            <v>3.08792199138365</v>
          </cell>
          <cell r="F97">
            <v>117430070.858826</v>
          </cell>
          <cell r="G97">
            <v>96.9120780086163</v>
          </cell>
          <cell r="H97">
            <v>61518209.9918823</v>
          </cell>
          <cell r="I97" t="str">
            <v>GroceryX</v>
          </cell>
          <cell r="J97">
            <v>98.9949488180416</v>
          </cell>
          <cell r="K97">
            <v>618289.496643066</v>
          </cell>
          <cell r="L97">
            <v>1918185.25552368</v>
          </cell>
          <cell r="M97">
            <v>7545620.76542282</v>
          </cell>
          <cell r="N97">
            <v>1918185.25552368</v>
          </cell>
          <cell r="O97">
            <v>25.6380057690047</v>
          </cell>
          <cell r="P97">
            <v>762117.03532657</v>
          </cell>
          <cell r="Q97">
            <v>0</v>
          </cell>
          <cell r="R97">
            <v>1017625.85098267</v>
          </cell>
          <cell r="S97">
            <v>124468.864807129</v>
          </cell>
          <cell r="T97">
            <v>0.0774383443377245</v>
          </cell>
          <cell r="U97">
            <v>893156.986175537</v>
          </cell>
          <cell r="V97">
            <v>-0.0774383443377218</v>
          </cell>
          <cell r="W97">
            <v>-1855949.2237854</v>
          </cell>
          <cell r="X97">
            <v>0</v>
          </cell>
          <cell r="Y97">
            <v>0.0712739569375032</v>
          </cell>
          <cell r="Z97">
            <v>-63822.510559082</v>
          </cell>
          <cell r="AA97">
            <v>-362837.055245399</v>
          </cell>
          <cell r="AB97">
            <v>-460473.649785995</v>
          </cell>
          <cell r="AC97">
            <v>-362837.055245399</v>
          </cell>
          <cell r="AD97">
            <v>-2.82650497612035</v>
          </cell>
          <cell r="AE97">
            <v>0</v>
          </cell>
        </row>
        <row r="98">
          <cell r="A98" t="str">
            <v>Total US - Weis Markets</v>
          </cell>
          <cell r="B98" t="str">
            <v>Total US - GroceryX</v>
          </cell>
          <cell r="C98">
            <v>121171760.292236</v>
          </cell>
          <cell r="D98">
            <v>2261254.16235352</v>
          </cell>
          <cell r="E98">
            <v>1.86615607209133</v>
          </cell>
          <cell r="F98">
            <v>118910506.129883</v>
          </cell>
          <cell r="G98">
            <v>98.1338439279087</v>
          </cell>
          <cell r="H98">
            <v>61518209.9918823</v>
          </cell>
          <cell r="I98" t="str">
            <v>GroceryX</v>
          </cell>
          <cell r="J98">
            <v>99.3807951685104</v>
          </cell>
          <cell r="K98">
            <v>380923.728515625</v>
          </cell>
          <cell r="L98">
            <v>0</v>
          </cell>
          <cell r="M98">
            <v>5457862.89881897</v>
          </cell>
          <cell r="N98">
            <v>0</v>
          </cell>
          <cell r="O98">
            <v>32.9075194114765</v>
          </cell>
          <cell r="P98">
            <v>515310.72797648</v>
          </cell>
          <cell r="Q98">
            <v>0</v>
          </cell>
          <cell r="R98">
            <v>1017625.85098267</v>
          </cell>
          <cell r="S98">
            <v>-19145.8709716797</v>
          </cell>
          <cell r="T98">
            <v>-0.0317395300280818</v>
          </cell>
          <cell r="U98">
            <v>1036771.72195435</v>
          </cell>
          <cell r="V98">
            <v>0.0317395300280765</v>
          </cell>
          <cell r="W98">
            <v>-1855949.2237854</v>
          </cell>
          <cell r="X98">
            <v>0</v>
          </cell>
          <cell r="Y98">
            <v>0.0080700107276499</v>
          </cell>
          <cell r="Z98">
            <v>-16606.4287109375</v>
          </cell>
          <cell r="AA98">
            <v>0</v>
          </cell>
          <cell r="AB98">
            <v>536322.083450317</v>
          </cell>
          <cell r="AC98">
            <v>0</v>
          </cell>
          <cell r="AD98">
            <v>-0.804055244831723</v>
          </cell>
          <cell r="AE98">
            <v>0</v>
          </cell>
        </row>
        <row r="99">
          <cell r="A99" t="str">
            <v>Total US - Whole Foods</v>
          </cell>
          <cell r="B99" t="str">
            <v>Total US - GroceryX</v>
          </cell>
          <cell r="C99">
            <v>121171760.292236</v>
          </cell>
          <cell r="D99">
            <v>8600610.73690796</v>
          </cell>
          <cell r="E99">
            <v>7.09786728868625</v>
          </cell>
          <cell r="F99">
            <v>112571149.555328</v>
          </cell>
          <cell r="G99">
            <v>92.9021327113138</v>
          </cell>
          <cell r="H99">
            <v>61518209.9918823</v>
          </cell>
          <cell r="I99" t="str">
            <v>GroceryX</v>
          </cell>
          <cell r="J99">
            <v>99.8142368452892</v>
          </cell>
          <cell r="K99">
            <v>114278.167602539</v>
          </cell>
          <cell r="L99">
            <v>0</v>
          </cell>
          <cell r="M99">
            <v>0</v>
          </cell>
          <cell r="N99">
            <v>0</v>
          </cell>
          <cell r="O99">
            <v>1.98033701250606</v>
          </cell>
          <cell r="P99">
            <v>1232632.65035048</v>
          </cell>
          <cell r="Q99">
            <v>0</v>
          </cell>
          <cell r="R99">
            <v>1017625.85098267</v>
          </cell>
          <cell r="S99">
            <v>-43910.1837463379</v>
          </cell>
          <cell r="T99">
            <v>-0.0966591093053362</v>
          </cell>
          <cell r="U99">
            <v>1061536.034729</v>
          </cell>
          <cell r="V99">
            <v>0.0966591093053353</v>
          </cell>
          <cell r="W99">
            <v>-1855949.2237854</v>
          </cell>
          <cell r="X99">
            <v>0</v>
          </cell>
          <cell r="Y99">
            <v>0.0450121189232817</v>
          </cell>
          <cell r="Z99">
            <v>-31973.7217407227</v>
          </cell>
          <cell r="AA99">
            <v>0</v>
          </cell>
          <cell r="AB99">
            <v>0</v>
          </cell>
          <cell r="AC99">
            <v>0</v>
          </cell>
          <cell r="AD99">
            <v>-0.199081717684753</v>
          </cell>
          <cell r="AE99">
            <v>0</v>
          </cell>
        </row>
        <row r="100">
          <cell r="A100" t="str">
            <v>Total US - Winco Foods</v>
          </cell>
          <cell r="B100" t="str">
            <v>Total US - GroceryX</v>
          </cell>
          <cell r="C100">
            <v>121171760.292236</v>
          </cell>
          <cell r="D100">
            <v>5405313.61218262</v>
          </cell>
          <cell r="E100">
            <v>4.46086909948848</v>
          </cell>
          <cell r="F100">
            <v>115766446.680054</v>
          </cell>
          <cell r="G100">
            <v>95.5391309005115</v>
          </cell>
          <cell r="H100">
            <v>61518209.9918823</v>
          </cell>
          <cell r="I100" t="str">
            <v>GroceryX</v>
          </cell>
          <cell r="J100">
            <v>98.8930079628048</v>
          </cell>
          <cell r="K100">
            <v>681001.686035156</v>
          </cell>
          <cell r="L100">
            <v>1943703.61079407</v>
          </cell>
          <cell r="M100">
            <v>8265336.88293457</v>
          </cell>
          <cell r="N100">
            <v>1943703.61079407</v>
          </cell>
          <cell r="O100">
            <v>23.2620113152498</v>
          </cell>
          <cell r="P100">
            <v>849322.314649546</v>
          </cell>
          <cell r="Q100">
            <v>0</v>
          </cell>
          <cell r="R100">
            <v>1017625.85098267</v>
          </cell>
          <cell r="S100">
            <v>187670.81918335</v>
          </cell>
          <cell r="T100">
            <v>0.118411124769094</v>
          </cell>
          <cell r="U100">
            <v>829955.031799316</v>
          </cell>
          <cell r="V100">
            <v>-0.118411124769096</v>
          </cell>
          <cell r="W100">
            <v>-1855949.2237854</v>
          </cell>
          <cell r="X100">
            <v>0</v>
          </cell>
          <cell r="Y100">
            <v>0.149419064200373</v>
          </cell>
          <cell r="Z100">
            <v>-115238.285766602</v>
          </cell>
          <cell r="AA100">
            <v>-1420702.97119141</v>
          </cell>
          <cell r="AB100">
            <v>265723.990905762</v>
          </cell>
          <cell r="AC100">
            <v>-1420702.97119141</v>
          </cell>
          <cell r="AD100">
            <v>-2.54396736768803</v>
          </cell>
          <cell r="AE100">
            <v>0</v>
          </cell>
        </row>
        <row r="101">
          <cell r="A101" t="str">
            <v>Total US - Winn Dixie</v>
          </cell>
          <cell r="B101" t="str">
            <v>Total US - GroceryX</v>
          </cell>
          <cell r="C101">
            <v>121171760.292236</v>
          </cell>
          <cell r="D101">
            <v>7214918.4442749</v>
          </cell>
          <cell r="E101">
            <v>5.95429036177596</v>
          </cell>
          <cell r="F101">
            <v>113956841.847961</v>
          </cell>
          <cell r="G101">
            <v>94.045709638224</v>
          </cell>
          <cell r="H101">
            <v>61518209.9918823</v>
          </cell>
          <cell r="I101" t="str">
            <v>GroceryX</v>
          </cell>
          <cell r="J101">
            <v>98.3356091106081</v>
          </cell>
          <cell r="K101">
            <v>1023903.48242188</v>
          </cell>
          <cell r="L101">
            <v>4654400.89485168</v>
          </cell>
          <cell r="M101">
            <v>14524008.1811752</v>
          </cell>
          <cell r="N101">
            <v>4654400.89485168</v>
          </cell>
          <cell r="O101">
            <v>30.26335465135</v>
          </cell>
          <cell r="P101">
            <v>1338363.79822345</v>
          </cell>
          <cell r="Q101">
            <v>0</v>
          </cell>
          <cell r="R101">
            <v>1017625.85098267</v>
          </cell>
          <cell r="S101">
            <v>-197922.58001709</v>
          </cell>
          <cell r="T101">
            <v>-0.215152794519514</v>
          </cell>
          <cell r="U101">
            <v>1215548.43099976</v>
          </cell>
          <cell r="V101">
            <v>0.215152794519511</v>
          </cell>
          <cell r="W101">
            <v>-1855949.2237854</v>
          </cell>
          <cell r="X101">
            <v>0</v>
          </cell>
          <cell r="Y101">
            <v>0.331476475114613</v>
          </cell>
          <cell r="Z101">
            <v>-240960.678894043</v>
          </cell>
          <cell r="AA101">
            <v>-1010497.88121033</v>
          </cell>
          <cell r="AB101">
            <v>-2379983.94773865</v>
          </cell>
          <cell r="AC101">
            <v>-1010497.88121033</v>
          </cell>
          <cell r="AD101">
            <v>-3.01497948669871</v>
          </cell>
          <cell r="AE101">
            <v>0</v>
          </cell>
        </row>
        <row r="102">
          <cell r="A102" t="str">
            <v>Total US - Woodmans Markets</v>
          </cell>
          <cell r="B102" t="str">
            <v>Total US - GroceryX</v>
          </cell>
          <cell r="C102">
            <v>121171760.292236</v>
          </cell>
          <cell r="D102">
            <v>1026193.93096924</v>
          </cell>
          <cell r="E102">
            <v>0.846891989102339</v>
          </cell>
          <cell r="F102">
            <v>120145566.361267</v>
          </cell>
          <cell r="G102">
            <v>99.1531080108977</v>
          </cell>
          <cell r="H102">
            <v>61518209.9918823</v>
          </cell>
          <cell r="I102" t="str">
            <v>GroceryX</v>
          </cell>
          <cell r="J102">
            <v>99.6508685199048</v>
          </cell>
          <cell r="K102">
            <v>214779.437072754</v>
          </cell>
          <cell r="L102">
            <v>0</v>
          </cell>
          <cell r="M102">
            <v>3164340.01428986</v>
          </cell>
          <cell r="N102">
            <v>0</v>
          </cell>
          <cell r="O102">
            <v>33.3661891723734</v>
          </cell>
          <cell r="P102">
            <v>179055.503094145</v>
          </cell>
          <cell r="Q102">
            <v>0</v>
          </cell>
          <cell r="R102">
            <v>1017625.85098267</v>
          </cell>
          <cell r="S102">
            <v>-32618.8716125488</v>
          </cell>
          <cell r="T102">
            <v>-0.0343201368935975</v>
          </cell>
          <cell r="U102">
            <v>1050244.72259521</v>
          </cell>
          <cell r="V102">
            <v>0.0343201368935979</v>
          </cell>
          <cell r="W102">
            <v>-1855949.2237854</v>
          </cell>
          <cell r="X102">
            <v>0</v>
          </cell>
          <cell r="Y102">
            <v>0.0483049001798292</v>
          </cell>
          <cell r="Z102">
            <v>-37092.52734375</v>
          </cell>
          <cell r="AA102">
            <v>0</v>
          </cell>
          <cell r="AB102">
            <v>511853.656715393</v>
          </cell>
          <cell r="AC102">
            <v>0</v>
          </cell>
          <cell r="AD102">
            <v>-3.07954051186437</v>
          </cell>
          <cell r="AE102">
            <v>0</v>
          </cell>
        </row>
        <row r="103">
          <cell r="A103" t="str">
            <v>Total US - Hardware-Home</v>
          </cell>
          <cell r="B103" t="str">
            <v>Total US - Hardware-Home</v>
          </cell>
          <cell r="C103">
            <v>121171760.292236</v>
          </cell>
          <cell r="D103">
            <v>76705402.4938354</v>
          </cell>
          <cell r="E103">
            <v>63.3030355495711</v>
          </cell>
          <cell r="F103">
            <v>44466357.7984009</v>
          </cell>
          <cell r="G103">
            <v>36.6969644504289</v>
          </cell>
          <cell r="H103">
            <v>61518209.9918823</v>
          </cell>
          <cell r="I103" t="str">
            <v>Hardware-Home</v>
          </cell>
          <cell r="J103">
            <v>96.0034784754471</v>
          </cell>
          <cell r="K103">
            <v>2458588.50384521</v>
          </cell>
          <cell r="L103">
            <v>7482799.30241585</v>
          </cell>
          <cell r="M103">
            <v>21616920.5179443</v>
          </cell>
          <cell r="N103">
            <v>7482799.30241585</v>
          </cell>
          <cell r="O103">
            <v>5.47178730151564</v>
          </cell>
          <cell r="P103">
            <v>10114752.9692085</v>
          </cell>
          <cell r="Q103">
            <v>0</v>
          </cell>
          <cell r="R103">
            <v>1017625.85098267</v>
          </cell>
          <cell r="S103">
            <v>-1359385.17697144</v>
          </cell>
          <cell r="T103">
            <v>-1.66750252956149</v>
          </cell>
          <cell r="U103">
            <v>2377011.0279541</v>
          </cell>
          <cell r="V103">
            <v>1.66750252956149</v>
          </cell>
          <cell r="W103">
            <v>-1855949.2237854</v>
          </cell>
          <cell r="X103">
            <v>0</v>
          </cell>
          <cell r="Y103">
            <v>0.189952411193374</v>
          </cell>
          <cell r="Z103">
            <v>-194554.153717041</v>
          </cell>
          <cell r="AA103">
            <v>-51013.6462898254</v>
          </cell>
          <cell r="AB103">
            <v>-1145909.36522675</v>
          </cell>
          <cell r="AC103">
            <v>-51013.6462898254</v>
          </cell>
          <cell r="AD103">
            <v>-0.268511148142614</v>
          </cell>
          <cell r="AE103">
            <v>0</v>
          </cell>
        </row>
        <row r="104">
          <cell r="A104" t="str">
            <v>Total US - Ace Hardware</v>
          </cell>
          <cell r="B104" t="str">
            <v>Total US - Hardware-Home</v>
          </cell>
          <cell r="C104">
            <v>121171760.292236</v>
          </cell>
          <cell r="D104">
            <v>15396562.1270752</v>
          </cell>
          <cell r="E104">
            <v>12.7063946995096</v>
          </cell>
          <cell r="F104">
            <v>105775198.165161</v>
          </cell>
          <cell r="G104">
            <v>87.2936053004904</v>
          </cell>
          <cell r="H104">
            <v>61518209.9918823</v>
          </cell>
          <cell r="I104" t="str">
            <v>Hardware-Home</v>
          </cell>
          <cell r="J104">
            <v>99.5873236846311</v>
          </cell>
          <cell r="K104">
            <v>253871.082275391</v>
          </cell>
          <cell r="L104">
            <v>0</v>
          </cell>
          <cell r="M104">
            <v>1029024.7645874</v>
          </cell>
          <cell r="N104">
            <v>0</v>
          </cell>
          <cell r="O104">
            <v>3.08385387761947</v>
          </cell>
          <cell r="P104">
            <v>855854.507781474</v>
          </cell>
          <cell r="Q104">
            <v>0</v>
          </cell>
          <cell r="R104">
            <v>1017625.85098267</v>
          </cell>
          <cell r="S104">
            <v>-297950.418487549</v>
          </cell>
          <cell r="T104">
            <v>-0.355588243104982</v>
          </cell>
          <cell r="U104">
            <v>1315576.26947021</v>
          </cell>
          <cell r="V104">
            <v>0.355588243104975</v>
          </cell>
          <cell r="W104">
            <v>-1855949.2237854</v>
          </cell>
          <cell r="X104">
            <v>0</v>
          </cell>
          <cell r="Y104">
            <v>0.100485521565361</v>
          </cell>
          <cell r="Z104">
            <v>-71340.9172973633</v>
          </cell>
          <cell r="AA104">
            <v>0</v>
          </cell>
          <cell r="AB104">
            <v>-571931.521583557</v>
          </cell>
          <cell r="AC104">
            <v>0</v>
          </cell>
          <cell r="AD104">
            <v>-0.614259892658619</v>
          </cell>
          <cell r="AE104">
            <v>0</v>
          </cell>
        </row>
        <row r="105">
          <cell r="A105" t="str">
            <v>Total US - Home Depot</v>
          </cell>
          <cell r="B105" t="str">
            <v>Total US - Hardware-Home</v>
          </cell>
          <cell r="C105">
            <v>121171760.292236</v>
          </cell>
          <cell r="D105">
            <v>45576593.6126099</v>
          </cell>
          <cell r="E105">
            <v>37.6132140877465</v>
          </cell>
          <cell r="F105">
            <v>75595166.6796265</v>
          </cell>
          <cell r="G105">
            <v>62.3867859122535</v>
          </cell>
          <cell r="H105">
            <v>61518209.9918823</v>
          </cell>
          <cell r="I105" t="str">
            <v>Hardware-Home</v>
          </cell>
          <cell r="J105">
            <v>98.807977291809</v>
          </cell>
          <cell r="K105">
            <v>733311.032775879</v>
          </cell>
          <cell r="L105">
            <v>1979261.69593811</v>
          </cell>
          <cell r="M105">
            <v>5663633.81907463</v>
          </cell>
          <cell r="N105">
            <v>1979261.69593811</v>
          </cell>
          <cell r="O105">
            <v>2.55110578920747</v>
          </cell>
          <cell r="P105">
            <v>6549883.8264454</v>
          </cell>
          <cell r="Q105">
            <v>0</v>
          </cell>
          <cell r="R105">
            <v>1017625.85098267</v>
          </cell>
          <cell r="S105">
            <v>-274538.203643799</v>
          </cell>
          <cell r="T105">
            <v>-0.547047337690685</v>
          </cell>
          <cell r="U105">
            <v>1292164.05462646</v>
          </cell>
          <cell r="V105">
            <v>0.547047337690685</v>
          </cell>
          <cell r="W105">
            <v>-1855949.2237854</v>
          </cell>
          <cell r="X105">
            <v>0</v>
          </cell>
          <cell r="Y105">
            <v>-0.343755049326063</v>
          </cell>
          <cell r="Z105">
            <v>195728.536071777</v>
          </cell>
          <cell r="AA105">
            <v>123262.731887817</v>
          </cell>
          <cell r="AB105">
            <v>1956555.66691399</v>
          </cell>
          <cell r="AC105">
            <v>123262.731887817</v>
          </cell>
          <cell r="AD105">
            <v>0.539993539009</v>
          </cell>
          <cell r="AE105">
            <v>0</v>
          </cell>
        </row>
        <row r="106">
          <cell r="A106" t="str">
            <v>Total US - Lowes Home Improvement</v>
          </cell>
          <cell r="B106" t="str">
            <v>Total US - Hardware-Home</v>
          </cell>
          <cell r="C106">
            <v>121171760.292236</v>
          </cell>
          <cell r="D106">
            <v>38686383.9416199</v>
          </cell>
          <cell r="E106">
            <v>31.9268976932562</v>
          </cell>
          <cell r="F106">
            <v>82485376.3506165</v>
          </cell>
          <cell r="G106">
            <v>68.0731023067438</v>
          </cell>
          <cell r="H106">
            <v>61518209.9918823</v>
          </cell>
          <cell r="I106" t="str">
            <v>Hardware-Home</v>
          </cell>
          <cell r="J106">
            <v>99.327897988837</v>
          </cell>
          <cell r="K106">
            <v>413465.126586914</v>
          </cell>
          <cell r="L106">
            <v>1673503.15367126</v>
          </cell>
          <cell r="M106">
            <v>2542336.95934296</v>
          </cell>
          <cell r="N106">
            <v>1673503.15367126</v>
          </cell>
          <cell r="O106">
            <v>1.82889238990917</v>
          </cell>
          <cell r="P106">
            <v>5126760.74157755</v>
          </cell>
          <cell r="Q106">
            <v>0</v>
          </cell>
          <cell r="R106">
            <v>1017625.85098267</v>
          </cell>
          <cell r="S106">
            <v>-1003041.82611084</v>
          </cell>
          <cell r="T106">
            <v>-1.10519558617724</v>
          </cell>
          <cell r="U106">
            <v>2020667.67709351</v>
          </cell>
          <cell r="V106">
            <v>1.10519558617723</v>
          </cell>
          <cell r="W106">
            <v>-1855949.2237854</v>
          </cell>
          <cell r="X106">
            <v>0</v>
          </cell>
          <cell r="Y106">
            <v>0.0408981564802389</v>
          </cell>
          <cell r="Z106">
            <v>-38392.7348632813</v>
          </cell>
          <cell r="AA106">
            <v>1038466.97286987</v>
          </cell>
          <cell r="AB106">
            <v>40973.646812439</v>
          </cell>
          <cell r="AC106">
            <v>1038466.97286987</v>
          </cell>
          <cell r="AD106">
            <v>-0.147941057330619</v>
          </cell>
          <cell r="AE106">
            <v>0</v>
          </cell>
        </row>
        <row r="107">
          <cell r="A107" t="str">
            <v>Total US - Menards</v>
          </cell>
          <cell r="B107" t="str">
            <v>Total US - Hardware-Home</v>
          </cell>
          <cell r="C107">
            <v>121171760.292236</v>
          </cell>
          <cell r="D107">
            <v>10346575.0297852</v>
          </cell>
          <cell r="E107">
            <v>8.5387676178276</v>
          </cell>
          <cell r="F107">
            <v>110825185.262451</v>
          </cell>
          <cell r="G107">
            <v>91.4612323821724</v>
          </cell>
          <cell r="H107">
            <v>61518209.9918823</v>
          </cell>
          <cell r="I107" t="str">
            <v>Hardware-Home</v>
          </cell>
          <cell r="J107">
            <v>98.3574138699563</v>
          </cell>
          <cell r="K107">
            <v>1010489.58477783</v>
          </cell>
          <cell r="L107">
            <v>3323974.32773209</v>
          </cell>
          <cell r="M107">
            <v>10972512.4333439</v>
          </cell>
          <cell r="N107">
            <v>3323974.32773209</v>
          </cell>
          <cell r="O107">
            <v>16.7393575730898</v>
          </cell>
          <cell r="P107">
            <v>1483791.98263704</v>
          </cell>
          <cell r="Q107">
            <v>0</v>
          </cell>
          <cell r="R107">
            <v>1017625.85098267</v>
          </cell>
          <cell r="S107">
            <v>-116572.446899414</v>
          </cell>
          <cell r="T107">
            <v>-0.169336789349719</v>
          </cell>
          <cell r="U107">
            <v>1134198.29788208</v>
          </cell>
          <cell r="V107">
            <v>0.169336789349714</v>
          </cell>
          <cell r="W107">
            <v>-1855949.2237854</v>
          </cell>
          <cell r="X107">
            <v>0</v>
          </cell>
          <cell r="Y107">
            <v>0.304778601698771</v>
          </cell>
          <cell r="Z107">
            <v>-223636.440826416</v>
          </cell>
          <cell r="AA107">
            <v>-1198640.32957459</v>
          </cell>
          <cell r="AB107">
            <v>-2623297.22567177</v>
          </cell>
          <cell r="AC107">
            <v>-1198640.32957459</v>
          </cell>
          <cell r="AD107">
            <v>-2.73317496499903</v>
          </cell>
          <cell r="AE107">
            <v>0</v>
          </cell>
        </row>
        <row r="108">
          <cell r="A108" t="str">
            <v>Total US - Orchard Supply</v>
          </cell>
          <cell r="B108" t="str">
            <v>Total US - Hardware-Home</v>
          </cell>
          <cell r="C108">
            <v>121171760.292236</v>
          </cell>
          <cell r="D108">
            <v>1701150.85211182</v>
          </cell>
          <cell r="E108">
            <v>1.40391692586545</v>
          </cell>
          <cell r="F108">
            <v>119470609.440125</v>
          </cell>
          <cell r="G108">
            <v>98.5960830741346</v>
          </cell>
          <cell r="H108">
            <v>61518209.9918823</v>
          </cell>
          <cell r="I108" t="str">
            <v>Hardware-Home</v>
          </cell>
          <cell r="J108">
            <v>0</v>
          </cell>
          <cell r="K108">
            <v>0</v>
          </cell>
          <cell r="L108">
            <v>0</v>
          </cell>
          <cell r="M108">
            <v>0</v>
          </cell>
          <cell r="N108">
            <v>0</v>
          </cell>
          <cell r="O108">
            <v>0</v>
          </cell>
          <cell r="P108">
            <v>0</v>
          </cell>
          <cell r="Q108">
            <v>0</v>
          </cell>
          <cell r="R108">
            <v>1017625.85098267</v>
          </cell>
          <cell r="S108">
            <v>76118.5184631348</v>
          </cell>
          <cell r="T108">
            <v>0.0514604821438232</v>
          </cell>
          <cell r="U108">
            <v>941507.332519531</v>
          </cell>
          <cell r="V108">
            <v>-0.051460482143824</v>
          </cell>
          <cell r="W108">
            <v>-1855949.2237854</v>
          </cell>
          <cell r="X108">
            <v>0</v>
          </cell>
          <cell r="Y108">
            <v>0</v>
          </cell>
          <cell r="Z108">
            <v>0</v>
          </cell>
          <cell r="AA108">
            <v>0</v>
          </cell>
          <cell r="AB108">
            <v>0</v>
          </cell>
          <cell r="AC108">
            <v>0</v>
          </cell>
          <cell r="AD108">
            <v>0</v>
          </cell>
          <cell r="AE108">
            <v>0</v>
          </cell>
        </row>
        <row r="109">
          <cell r="A109" t="str">
            <v>Total US - Sears Hardware</v>
          </cell>
          <cell r="B109" t="str">
            <v>Total US - Hardware-Home</v>
          </cell>
          <cell r="C109">
            <v>121171760.292236</v>
          </cell>
          <cell r="D109">
            <v>1641610.64239502</v>
          </cell>
          <cell r="E109">
            <v>1.3547798913178</v>
          </cell>
          <cell r="F109">
            <v>119530149.649841</v>
          </cell>
          <cell r="G109">
            <v>98.6452201086822</v>
          </cell>
          <cell r="H109">
            <v>61518209.9918823</v>
          </cell>
          <cell r="I109" t="str">
            <v>Hardware-Home</v>
          </cell>
          <cell r="J109">
            <v>0</v>
          </cell>
          <cell r="K109">
            <v>0</v>
          </cell>
          <cell r="L109">
            <v>0</v>
          </cell>
          <cell r="M109">
            <v>0</v>
          </cell>
          <cell r="N109">
            <v>0</v>
          </cell>
          <cell r="O109">
            <v>0</v>
          </cell>
          <cell r="P109">
            <v>0</v>
          </cell>
          <cell r="Q109">
            <v>0</v>
          </cell>
          <cell r="R109">
            <v>1017625.85098267</v>
          </cell>
          <cell r="S109">
            <v>-370120.780212402</v>
          </cell>
          <cell r="T109">
            <v>-0.319512409952126</v>
          </cell>
          <cell r="U109">
            <v>1387746.63119507</v>
          </cell>
          <cell r="V109">
            <v>0.319512409952125</v>
          </cell>
          <cell r="W109">
            <v>-1855949.2237854</v>
          </cell>
          <cell r="X109">
            <v>0</v>
          </cell>
          <cell r="Y109">
            <v>0</v>
          </cell>
          <cell r="Z109">
            <v>0</v>
          </cell>
          <cell r="AA109">
            <v>0</v>
          </cell>
          <cell r="AB109">
            <v>0</v>
          </cell>
          <cell r="AC109">
            <v>0</v>
          </cell>
          <cell r="AD109">
            <v>0</v>
          </cell>
          <cell r="AE109">
            <v>0</v>
          </cell>
        </row>
        <row r="110">
          <cell r="A110" t="str">
            <v>Total US - True Value</v>
          </cell>
          <cell r="B110" t="str">
            <v>Total US - Hardware-Home</v>
          </cell>
          <cell r="C110">
            <v>121171760.292236</v>
          </cell>
          <cell r="D110">
            <v>3484356.33636475</v>
          </cell>
          <cell r="E110">
            <v>2.87555147169715</v>
          </cell>
          <cell r="F110">
            <v>117687403.955872</v>
          </cell>
          <cell r="G110">
            <v>97.1244485283029</v>
          </cell>
          <cell r="H110">
            <v>61518209.9918823</v>
          </cell>
          <cell r="I110" t="str">
            <v>Hardware-Home</v>
          </cell>
          <cell r="J110">
            <v>0</v>
          </cell>
          <cell r="K110">
            <v>0</v>
          </cell>
          <cell r="L110">
            <v>0</v>
          </cell>
          <cell r="M110">
            <v>0</v>
          </cell>
          <cell r="N110">
            <v>0</v>
          </cell>
          <cell r="O110">
            <v>0</v>
          </cell>
          <cell r="P110">
            <v>0</v>
          </cell>
          <cell r="Q110">
            <v>0</v>
          </cell>
          <cell r="R110">
            <v>1017625.85098267</v>
          </cell>
          <cell r="S110">
            <v>-95714.9834289551</v>
          </cell>
          <cell r="T110">
            <v>-0.104014180739126</v>
          </cell>
          <cell r="U110">
            <v>1113340.83441162</v>
          </cell>
          <cell r="V110">
            <v>0.104014180739128</v>
          </cell>
          <cell r="W110">
            <v>-1855949.2237854</v>
          </cell>
          <cell r="X110">
            <v>0</v>
          </cell>
          <cell r="Y110">
            <v>0</v>
          </cell>
          <cell r="Z110">
            <v>0</v>
          </cell>
          <cell r="AA110">
            <v>0</v>
          </cell>
          <cell r="AB110">
            <v>0</v>
          </cell>
          <cell r="AC110">
            <v>0</v>
          </cell>
          <cell r="AD110">
            <v>0</v>
          </cell>
          <cell r="AE110">
            <v>0</v>
          </cell>
        </row>
        <row r="111">
          <cell r="A111" t="str">
            <v>Total US - Health/Vitamin</v>
          </cell>
          <cell r="B111" t="str">
            <v>Total US - Health/Vitamin</v>
          </cell>
          <cell r="C111">
            <v>121171760.292236</v>
          </cell>
          <cell r="D111">
            <v>9982051.37780762</v>
          </cell>
          <cell r="E111">
            <v>8.23793543457104</v>
          </cell>
          <cell r="F111">
            <v>111189708.914429</v>
          </cell>
          <cell r="G111">
            <v>91.762064565429</v>
          </cell>
          <cell r="H111">
            <v>61518209.9918823</v>
          </cell>
          <cell r="I111" t="str">
            <v>Health/Vitamin</v>
          </cell>
          <cell r="J111">
            <v>0</v>
          </cell>
          <cell r="K111">
            <v>0</v>
          </cell>
          <cell r="L111">
            <v>0</v>
          </cell>
          <cell r="M111">
            <v>0</v>
          </cell>
          <cell r="N111">
            <v>0</v>
          </cell>
          <cell r="O111">
            <v>0</v>
          </cell>
          <cell r="P111">
            <v>0</v>
          </cell>
          <cell r="Q111">
            <v>0</v>
          </cell>
          <cell r="R111">
            <v>1017625.85098267</v>
          </cell>
          <cell r="S111">
            <v>-1352538.77322388</v>
          </cell>
          <cell r="T111">
            <v>-1.19543962467277</v>
          </cell>
          <cell r="U111">
            <v>2370164.62420654</v>
          </cell>
          <cell r="V111">
            <v>1.19543962467276</v>
          </cell>
          <cell r="W111">
            <v>-1855949.2237854</v>
          </cell>
          <cell r="X111">
            <v>0</v>
          </cell>
          <cell r="Y111">
            <v>0</v>
          </cell>
          <cell r="Z111">
            <v>0</v>
          </cell>
          <cell r="AA111">
            <v>0</v>
          </cell>
          <cell r="AB111">
            <v>0</v>
          </cell>
          <cell r="AC111">
            <v>0</v>
          </cell>
          <cell r="AD111">
            <v>0</v>
          </cell>
          <cell r="AE111">
            <v>0</v>
          </cell>
        </row>
        <row r="112">
          <cell r="A112" t="str">
            <v>Total US - GNC</v>
          </cell>
          <cell r="B112" t="str">
            <v>Total US - Health/Vitamin</v>
          </cell>
          <cell r="C112">
            <v>121171760.292236</v>
          </cell>
          <cell r="D112">
            <v>3650297.37701416</v>
          </cell>
          <cell r="E112">
            <v>3.01249843050109</v>
          </cell>
          <cell r="F112">
            <v>117521462.915222</v>
          </cell>
          <cell r="G112">
            <v>96.9875015694989</v>
          </cell>
          <cell r="H112">
            <v>61518209.9918823</v>
          </cell>
          <cell r="I112" t="str">
            <v>Health/Vitamin</v>
          </cell>
          <cell r="J112">
            <v>0</v>
          </cell>
          <cell r="K112">
            <v>0</v>
          </cell>
          <cell r="L112">
            <v>0</v>
          </cell>
          <cell r="M112">
            <v>0</v>
          </cell>
          <cell r="N112">
            <v>0</v>
          </cell>
          <cell r="O112">
            <v>0</v>
          </cell>
          <cell r="P112">
            <v>0</v>
          </cell>
          <cell r="Q112">
            <v>0</v>
          </cell>
          <cell r="R112">
            <v>1017625.85098267</v>
          </cell>
          <cell r="S112">
            <v>-663346.068054199</v>
          </cell>
          <cell r="T112">
            <v>-0.577593134077912</v>
          </cell>
          <cell r="U112">
            <v>1680971.91903687</v>
          </cell>
          <cell r="V112">
            <v>0.577593134077915</v>
          </cell>
          <cell r="W112">
            <v>-1855949.2237854</v>
          </cell>
          <cell r="X112">
            <v>0</v>
          </cell>
          <cell r="Y112">
            <v>0</v>
          </cell>
          <cell r="Z112">
            <v>0</v>
          </cell>
          <cell r="AA112">
            <v>0</v>
          </cell>
          <cell r="AB112">
            <v>0</v>
          </cell>
          <cell r="AC112">
            <v>0</v>
          </cell>
          <cell r="AD112">
            <v>0</v>
          </cell>
          <cell r="AE112">
            <v>0</v>
          </cell>
        </row>
        <row r="113">
          <cell r="A113" t="str">
            <v>Total US - Internet</v>
          </cell>
          <cell r="B113" t="str">
            <v>Total US - Internet</v>
          </cell>
          <cell r="C113">
            <v>121171760.292236</v>
          </cell>
          <cell r="D113">
            <v>51988929.3051758</v>
          </cell>
          <cell r="E113">
            <v>42.9051531312175</v>
          </cell>
          <cell r="F113">
            <v>69182830.9870605</v>
          </cell>
          <cell r="G113">
            <v>57.0948468687825</v>
          </cell>
          <cell r="H113">
            <v>61518209.9918823</v>
          </cell>
          <cell r="I113" t="str">
            <v>Internet</v>
          </cell>
          <cell r="J113">
            <v>96.8410457782643</v>
          </cell>
          <cell r="K113">
            <v>1943332.0916748</v>
          </cell>
          <cell r="L113">
            <v>4964319.86269379</v>
          </cell>
          <cell r="M113">
            <v>16404380.9024658</v>
          </cell>
          <cell r="N113">
            <v>4964319.86269379</v>
          </cell>
          <cell r="O113">
            <v>8.14687812329208</v>
          </cell>
          <cell r="P113">
            <v>11077798.9486787</v>
          </cell>
          <cell r="Q113">
            <v>0</v>
          </cell>
          <cell r="R113">
            <v>1017625.85098267</v>
          </cell>
          <cell r="S113">
            <v>-1517598.31466675</v>
          </cell>
          <cell r="T113">
            <v>-1.62642114099634</v>
          </cell>
          <cell r="U113">
            <v>2535224.16564941</v>
          </cell>
          <cell r="V113">
            <v>1.62642114099634</v>
          </cell>
          <cell r="W113">
            <v>-1855949.2237854</v>
          </cell>
          <cell r="X113">
            <v>0</v>
          </cell>
          <cell r="Y113">
            <v>0.397079319547444</v>
          </cell>
          <cell r="Z113">
            <v>-310274.266540527</v>
          </cell>
          <cell r="AA113">
            <v>-3024941.33929157</v>
          </cell>
          <cell r="AB113">
            <v>-162626.000286102</v>
          </cell>
          <cell r="AC113">
            <v>-3024941.33929157</v>
          </cell>
          <cell r="AD113">
            <v>-0.495130944198594</v>
          </cell>
          <cell r="AE113">
            <v>0</v>
          </cell>
        </row>
        <row r="114">
          <cell r="A114" t="str">
            <v>Total US - Amazon.com</v>
          </cell>
          <cell r="B114" t="str">
            <v>Total US - Internet</v>
          </cell>
          <cell r="C114">
            <v>121171760.292236</v>
          </cell>
          <cell r="D114">
            <v>23825052.065155</v>
          </cell>
          <cell r="E114">
            <v>19.6622150307092</v>
          </cell>
          <cell r="F114">
            <v>97346708.2270813</v>
          </cell>
          <cell r="G114">
            <v>80.3377849692908</v>
          </cell>
          <cell r="H114">
            <v>61518209.9918823</v>
          </cell>
          <cell r="I114" t="str">
            <v>Internet</v>
          </cell>
          <cell r="J114">
            <v>99.1895983146104</v>
          </cell>
          <cell r="K114">
            <v>498544.610595703</v>
          </cell>
          <cell r="L114">
            <v>1109541.55459595</v>
          </cell>
          <cell r="M114">
            <v>2192154.20335388</v>
          </cell>
          <cell r="N114">
            <v>1109541.55459595</v>
          </cell>
          <cell r="O114">
            <v>3.5335344197252</v>
          </cell>
          <cell r="P114">
            <v>5276905.48461712</v>
          </cell>
          <cell r="Q114">
            <v>0</v>
          </cell>
          <cell r="R114">
            <v>1017625.85098267</v>
          </cell>
          <cell r="S114">
            <v>575329.030944824</v>
          </cell>
          <cell r="T114">
            <v>0.312299905168885</v>
          </cell>
          <cell r="U114">
            <v>442296.820037842</v>
          </cell>
          <cell r="V114">
            <v>-0.312299905168885</v>
          </cell>
          <cell r="W114">
            <v>-1855949.2237854</v>
          </cell>
          <cell r="X114">
            <v>0</v>
          </cell>
          <cell r="Y114">
            <v>-0.209803800906698</v>
          </cell>
          <cell r="Z114">
            <v>117920.751037598</v>
          </cell>
          <cell r="AA114">
            <v>442101.740393639</v>
          </cell>
          <cell r="AB114">
            <v>955950.780567169</v>
          </cell>
          <cell r="AC114">
            <v>442101.740393639</v>
          </cell>
          <cell r="AD114">
            <v>0.616845628747808</v>
          </cell>
          <cell r="AE114">
            <v>0</v>
          </cell>
        </row>
        <row r="115">
          <cell r="A115" t="str">
            <v>Total US - Amazonfresh.com</v>
          </cell>
          <cell r="B115" t="str">
            <v>Total US - Internet</v>
          </cell>
          <cell r="C115">
            <v>121171760.292236</v>
          </cell>
          <cell r="D115">
            <v>204272.88861084</v>
          </cell>
          <cell r="E115">
            <v>0.16858126688775</v>
          </cell>
          <cell r="F115">
            <v>120967487.403625</v>
          </cell>
          <cell r="G115">
            <v>99.8314187331122</v>
          </cell>
          <cell r="H115">
            <v>61518209.9918823</v>
          </cell>
          <cell r="I115" t="str">
            <v>Internet</v>
          </cell>
          <cell r="J115">
            <v>0</v>
          </cell>
          <cell r="K115">
            <v>0</v>
          </cell>
          <cell r="L115">
            <v>0</v>
          </cell>
          <cell r="M115">
            <v>0</v>
          </cell>
          <cell r="N115">
            <v>0</v>
          </cell>
          <cell r="O115">
            <v>0</v>
          </cell>
          <cell r="P115">
            <v>0</v>
          </cell>
          <cell r="Q115">
            <v>0</v>
          </cell>
          <cell r="R115">
            <v>1017625.85098267</v>
          </cell>
          <cell r="S115">
            <v>38151.5478515625</v>
          </cell>
          <cell r="T115">
            <v>0.0303244007950581</v>
          </cell>
          <cell r="U115">
            <v>979474.303131104</v>
          </cell>
          <cell r="V115">
            <v>-0.0303244007950667</v>
          </cell>
          <cell r="W115">
            <v>-1855949.2237854</v>
          </cell>
          <cell r="X115">
            <v>0</v>
          </cell>
          <cell r="Y115">
            <v>0</v>
          </cell>
          <cell r="Z115">
            <v>0</v>
          </cell>
          <cell r="AA115">
            <v>0</v>
          </cell>
          <cell r="AB115">
            <v>0</v>
          </cell>
          <cell r="AC115">
            <v>0</v>
          </cell>
          <cell r="AD115">
            <v>0</v>
          </cell>
          <cell r="AE115">
            <v>0</v>
          </cell>
        </row>
        <row r="116">
          <cell r="A116" t="str">
            <v>Total US - Barnesnoble.com</v>
          </cell>
          <cell r="B116" t="str">
            <v>Total US - Internet</v>
          </cell>
          <cell r="C116">
            <v>121171760.292236</v>
          </cell>
          <cell r="D116">
            <v>1028810.84231567</v>
          </cell>
          <cell r="E116">
            <v>0.849051660085185</v>
          </cell>
          <cell r="F116">
            <v>120142949.449921</v>
          </cell>
          <cell r="G116">
            <v>99.1509483399148</v>
          </cell>
          <cell r="H116">
            <v>61518209.9918823</v>
          </cell>
          <cell r="I116" t="str">
            <v>Internet</v>
          </cell>
          <cell r="J116">
            <v>0</v>
          </cell>
          <cell r="K116">
            <v>0</v>
          </cell>
          <cell r="L116">
            <v>0</v>
          </cell>
          <cell r="M116">
            <v>0</v>
          </cell>
          <cell r="N116">
            <v>0</v>
          </cell>
          <cell r="O116">
            <v>0</v>
          </cell>
          <cell r="P116">
            <v>0</v>
          </cell>
          <cell r="Q116">
            <v>0</v>
          </cell>
          <cell r="R116">
            <v>1017625.85098267</v>
          </cell>
          <cell r="S116">
            <v>-241663.597015381</v>
          </cell>
          <cell r="T116">
            <v>-0.208318895858706</v>
          </cell>
          <cell r="U116">
            <v>1259289.44799805</v>
          </cell>
          <cell r="V116">
            <v>0.20831889585871</v>
          </cell>
          <cell r="W116">
            <v>-1855949.2237854</v>
          </cell>
          <cell r="X116">
            <v>0</v>
          </cell>
          <cell r="Y116">
            <v>0</v>
          </cell>
          <cell r="Z116">
            <v>0</v>
          </cell>
          <cell r="AA116">
            <v>0</v>
          </cell>
          <cell r="AB116">
            <v>0</v>
          </cell>
          <cell r="AC116">
            <v>0</v>
          </cell>
          <cell r="AD116">
            <v>0</v>
          </cell>
          <cell r="AE116">
            <v>0</v>
          </cell>
        </row>
        <row r="117">
          <cell r="A117" t="str">
            <v>Total US - Bestbuy.com</v>
          </cell>
          <cell r="B117" t="str">
            <v>Total US - Internet</v>
          </cell>
          <cell r="C117">
            <v>121171760.292236</v>
          </cell>
          <cell r="D117">
            <v>2747422.6835022</v>
          </cell>
          <cell r="E117">
            <v>2.26737870018236</v>
          </cell>
          <cell r="F117">
            <v>118424337.608734</v>
          </cell>
          <cell r="G117">
            <v>97.7326212998176</v>
          </cell>
          <cell r="H117">
            <v>61518209.9918823</v>
          </cell>
          <cell r="I117" t="str">
            <v>Internet</v>
          </cell>
          <cell r="J117">
            <v>0</v>
          </cell>
          <cell r="K117">
            <v>0</v>
          </cell>
          <cell r="L117">
            <v>0</v>
          </cell>
          <cell r="M117">
            <v>0</v>
          </cell>
          <cell r="N117">
            <v>0</v>
          </cell>
          <cell r="O117">
            <v>0</v>
          </cell>
          <cell r="P117">
            <v>0</v>
          </cell>
          <cell r="Q117">
            <v>0</v>
          </cell>
          <cell r="R117">
            <v>1017625.85098267</v>
          </cell>
          <cell r="S117">
            <v>31482.8312988281</v>
          </cell>
          <cell r="T117">
            <v>0.00699884323182332</v>
          </cell>
          <cell r="U117">
            <v>986143.019683838</v>
          </cell>
          <cell r="V117">
            <v>-0.00699884323182687</v>
          </cell>
          <cell r="W117">
            <v>-1855949.2237854</v>
          </cell>
          <cell r="X117">
            <v>0</v>
          </cell>
          <cell r="Y117">
            <v>0</v>
          </cell>
          <cell r="Z117">
            <v>0</v>
          </cell>
          <cell r="AA117">
            <v>0</v>
          </cell>
          <cell r="AB117">
            <v>0</v>
          </cell>
          <cell r="AC117">
            <v>0</v>
          </cell>
          <cell r="AD117">
            <v>0</v>
          </cell>
          <cell r="AE117">
            <v>0</v>
          </cell>
        </row>
        <row r="118">
          <cell r="A118" t="str">
            <v>Total US - Bjs.com</v>
          </cell>
          <cell r="B118" t="str">
            <v>Total US - Internet</v>
          </cell>
          <cell r="C118">
            <v>121171760.292236</v>
          </cell>
          <cell r="D118">
            <v>433402.446533203</v>
          </cell>
          <cell r="E118">
            <v>0.357676116520833</v>
          </cell>
          <cell r="F118">
            <v>120738357.845703</v>
          </cell>
          <cell r="G118">
            <v>99.6423238834792</v>
          </cell>
          <cell r="H118">
            <v>61518209.9918823</v>
          </cell>
          <cell r="I118" t="str">
            <v>Internet</v>
          </cell>
          <cell r="J118">
            <v>0</v>
          </cell>
          <cell r="K118">
            <v>0</v>
          </cell>
          <cell r="L118">
            <v>0</v>
          </cell>
          <cell r="M118">
            <v>0</v>
          </cell>
          <cell r="N118">
            <v>0</v>
          </cell>
          <cell r="O118">
            <v>0</v>
          </cell>
          <cell r="P118">
            <v>0</v>
          </cell>
          <cell r="Q118">
            <v>0</v>
          </cell>
          <cell r="R118">
            <v>1017625.85098267</v>
          </cell>
          <cell r="S118">
            <v>21118.7998046875</v>
          </cell>
          <cell r="T118">
            <v>0.0145471441839786</v>
          </cell>
          <cell r="U118">
            <v>996507.051177979</v>
          </cell>
          <cell r="V118">
            <v>-0.0145471441839788</v>
          </cell>
          <cell r="W118">
            <v>-1855949.2237854</v>
          </cell>
          <cell r="X118">
            <v>0</v>
          </cell>
          <cell r="Y118">
            <v>0</v>
          </cell>
          <cell r="Z118">
            <v>0</v>
          </cell>
          <cell r="AA118">
            <v>0</v>
          </cell>
          <cell r="AB118">
            <v>0</v>
          </cell>
          <cell r="AC118">
            <v>0</v>
          </cell>
          <cell r="AD118">
            <v>0</v>
          </cell>
          <cell r="AE118">
            <v>0</v>
          </cell>
        </row>
        <row r="119">
          <cell r="A119" t="str">
            <v>Total US - CVS.com</v>
          </cell>
          <cell r="B119" t="str">
            <v>Total US - Internet</v>
          </cell>
          <cell r="C119">
            <v>121171760.292236</v>
          </cell>
          <cell r="D119">
            <v>1993857.82501221</v>
          </cell>
          <cell r="E119">
            <v>1.64548061380268</v>
          </cell>
          <cell r="F119">
            <v>119177902.467224</v>
          </cell>
          <cell r="G119">
            <v>98.3545193861973</v>
          </cell>
          <cell r="H119">
            <v>61518209.9918823</v>
          </cell>
          <cell r="I119" t="str">
            <v>Internet</v>
          </cell>
          <cell r="J119">
            <v>0</v>
          </cell>
          <cell r="K119">
            <v>0</v>
          </cell>
          <cell r="L119">
            <v>0</v>
          </cell>
          <cell r="M119">
            <v>0</v>
          </cell>
          <cell r="N119">
            <v>0</v>
          </cell>
          <cell r="O119">
            <v>9.63209736968561</v>
          </cell>
          <cell r="P119">
            <v>186534.240944986</v>
          </cell>
          <cell r="Q119">
            <v>0</v>
          </cell>
          <cell r="R119">
            <v>1017625.85098267</v>
          </cell>
          <cell r="S119">
            <v>-234641.525939941</v>
          </cell>
          <cell r="T119">
            <v>-0.20921990176028</v>
          </cell>
          <cell r="U119">
            <v>1252267.37692261</v>
          </cell>
          <cell r="V119">
            <v>0.209219901760278</v>
          </cell>
          <cell r="W119">
            <v>-1855949.2237854</v>
          </cell>
          <cell r="X119">
            <v>0</v>
          </cell>
          <cell r="Y119">
            <v>0</v>
          </cell>
          <cell r="Z119">
            <v>0</v>
          </cell>
          <cell r="AA119">
            <v>0</v>
          </cell>
          <cell r="AB119">
            <v>0</v>
          </cell>
          <cell r="AC119">
            <v>0</v>
          </cell>
          <cell r="AD119">
            <v>2.33976236347263</v>
          </cell>
          <cell r="AE119">
            <v>0</v>
          </cell>
        </row>
        <row r="120">
          <cell r="A120" t="str">
            <v>Total US - Costco.com</v>
          </cell>
          <cell r="B120" t="str">
            <v>Total US - Internet</v>
          </cell>
          <cell r="C120">
            <v>121171760.292236</v>
          </cell>
          <cell r="D120">
            <v>1494902.09039307</v>
          </cell>
          <cell r="E120">
            <v>1.23370502069767</v>
          </cell>
          <cell r="F120">
            <v>119676858.201843</v>
          </cell>
          <cell r="G120">
            <v>98.7662949793023</v>
          </cell>
          <cell r="H120">
            <v>61518209.9918823</v>
          </cell>
          <cell r="I120" t="str">
            <v>Internet</v>
          </cell>
          <cell r="J120">
            <v>0</v>
          </cell>
          <cell r="K120">
            <v>0</v>
          </cell>
          <cell r="L120">
            <v>0</v>
          </cell>
          <cell r="M120">
            <v>0</v>
          </cell>
          <cell r="N120">
            <v>0</v>
          </cell>
          <cell r="O120">
            <v>7.62198067007177</v>
          </cell>
          <cell r="P120">
            <v>291126.203007558</v>
          </cell>
          <cell r="Q120">
            <v>0</v>
          </cell>
          <cell r="R120">
            <v>1017625.85098267</v>
          </cell>
          <cell r="S120">
            <v>9968.59039306641</v>
          </cell>
          <cell r="T120">
            <v>-0.00215216133381446</v>
          </cell>
          <cell r="U120">
            <v>1007657.2605896</v>
          </cell>
          <cell r="V120">
            <v>0.00215216133381091</v>
          </cell>
          <cell r="W120">
            <v>-1855949.2237854</v>
          </cell>
          <cell r="X120">
            <v>0</v>
          </cell>
          <cell r="Y120">
            <v>0</v>
          </cell>
          <cell r="Z120">
            <v>0</v>
          </cell>
          <cell r="AA120">
            <v>0</v>
          </cell>
          <cell r="AB120">
            <v>0</v>
          </cell>
          <cell r="AC120">
            <v>0</v>
          </cell>
          <cell r="AD120">
            <v>-2.67186637939929</v>
          </cell>
          <cell r="AE120">
            <v>0</v>
          </cell>
        </row>
        <row r="121">
          <cell r="A121" t="str">
            <v>Total US - Dollargeneral.com</v>
          </cell>
          <cell r="B121" t="str">
            <v>Total US - Internet</v>
          </cell>
          <cell r="C121">
            <v>121171760.292236</v>
          </cell>
          <cell r="D121">
            <v>771739.69744873</v>
          </cell>
          <cell r="E121">
            <v>0.636897322930265</v>
          </cell>
          <cell r="F121">
            <v>120400020.594788</v>
          </cell>
          <cell r="G121">
            <v>99.3631026770697</v>
          </cell>
          <cell r="H121">
            <v>61518209.9918823</v>
          </cell>
          <cell r="I121" t="str">
            <v>Internet</v>
          </cell>
          <cell r="J121">
            <v>0</v>
          </cell>
          <cell r="K121">
            <v>0</v>
          </cell>
          <cell r="L121">
            <v>0</v>
          </cell>
          <cell r="M121">
            <v>0</v>
          </cell>
          <cell r="N121">
            <v>0</v>
          </cell>
          <cell r="O121">
            <v>14.7002094659705</v>
          </cell>
          <cell r="P121">
            <v>50914.6038402188</v>
          </cell>
          <cell r="Q121">
            <v>0</v>
          </cell>
          <cell r="R121">
            <v>1017625.85098267</v>
          </cell>
          <cell r="S121">
            <v>-48099.1016235352</v>
          </cell>
          <cell r="T121">
            <v>-0.0454252645401693</v>
          </cell>
          <cell r="U121">
            <v>1065724.9526062</v>
          </cell>
          <cell r="V121">
            <v>0.0454252645401709</v>
          </cell>
          <cell r="W121">
            <v>-1855949.2237854</v>
          </cell>
          <cell r="X121">
            <v>0</v>
          </cell>
          <cell r="Y121">
            <v>0</v>
          </cell>
          <cell r="Z121">
            <v>0</v>
          </cell>
          <cell r="AA121">
            <v>0</v>
          </cell>
          <cell r="AB121">
            <v>0</v>
          </cell>
          <cell r="AC121">
            <v>0</v>
          </cell>
          <cell r="AD121">
            <v>-2.90350630098482</v>
          </cell>
          <cell r="AE121">
            <v>0</v>
          </cell>
        </row>
        <row r="122">
          <cell r="A122" t="str">
            <v>Total US - Drugstore.com</v>
          </cell>
          <cell r="B122" t="str">
            <v>Total US - Internet</v>
          </cell>
          <cell r="C122">
            <v>121171760.292236</v>
          </cell>
          <cell r="D122">
            <v>1568582.89996338</v>
          </cell>
          <cell r="E122">
            <v>1.29451193593321</v>
          </cell>
          <cell r="F122">
            <v>119603177.392273</v>
          </cell>
          <cell r="G122">
            <v>98.7054880640668</v>
          </cell>
          <cell r="H122">
            <v>61518209.9918823</v>
          </cell>
          <cell r="I122" t="str">
            <v>Internet</v>
          </cell>
          <cell r="J122">
            <v>0</v>
          </cell>
          <cell r="K122">
            <v>0</v>
          </cell>
          <cell r="L122">
            <v>0</v>
          </cell>
          <cell r="M122">
            <v>0</v>
          </cell>
          <cell r="N122">
            <v>0</v>
          </cell>
          <cell r="O122">
            <v>0</v>
          </cell>
          <cell r="P122">
            <v>0</v>
          </cell>
          <cell r="Q122">
            <v>0</v>
          </cell>
          <cell r="R122">
            <v>1017625.85098267</v>
          </cell>
          <cell r="S122">
            <v>-271983.340118408</v>
          </cell>
          <cell r="T122">
            <v>-0.237325689664005</v>
          </cell>
          <cell r="U122">
            <v>1289609.19110107</v>
          </cell>
          <cell r="V122">
            <v>0.237325689664004</v>
          </cell>
          <cell r="W122">
            <v>-1855949.2237854</v>
          </cell>
          <cell r="X122">
            <v>0</v>
          </cell>
          <cell r="Y122">
            <v>0</v>
          </cell>
          <cell r="Z122">
            <v>0</v>
          </cell>
          <cell r="AA122">
            <v>0</v>
          </cell>
          <cell r="AB122">
            <v>0</v>
          </cell>
          <cell r="AC122">
            <v>0</v>
          </cell>
          <cell r="AD122">
            <v>0</v>
          </cell>
          <cell r="AE122">
            <v>0</v>
          </cell>
        </row>
        <row r="123">
          <cell r="A123" t="str">
            <v>Total US - Ebay.com</v>
          </cell>
          <cell r="B123" t="str">
            <v>Total US - Internet</v>
          </cell>
          <cell r="C123">
            <v>121171760.292236</v>
          </cell>
          <cell r="D123">
            <v>4081950.98278809</v>
          </cell>
          <cell r="E123">
            <v>3.36873127281755</v>
          </cell>
          <cell r="F123">
            <v>117089809.309448</v>
          </cell>
          <cell r="G123">
            <v>96.6312687271824</v>
          </cell>
          <cell r="H123">
            <v>61518209.9918823</v>
          </cell>
          <cell r="I123" t="str">
            <v>Internet</v>
          </cell>
          <cell r="J123">
            <v>0</v>
          </cell>
          <cell r="K123">
            <v>0</v>
          </cell>
          <cell r="L123">
            <v>0</v>
          </cell>
          <cell r="M123">
            <v>0</v>
          </cell>
          <cell r="N123">
            <v>0</v>
          </cell>
          <cell r="O123">
            <v>0</v>
          </cell>
          <cell r="P123">
            <v>0</v>
          </cell>
          <cell r="Q123">
            <v>0</v>
          </cell>
          <cell r="R123">
            <v>1017625.85098267</v>
          </cell>
          <cell r="S123">
            <v>-301804.302093506</v>
          </cell>
          <cell r="T123">
            <v>-0.279711875033444</v>
          </cell>
          <cell r="U123">
            <v>1319430.15307617</v>
          </cell>
          <cell r="V123">
            <v>0.279711875033442</v>
          </cell>
          <cell r="W123">
            <v>-1855949.2237854</v>
          </cell>
          <cell r="X123">
            <v>0</v>
          </cell>
          <cell r="Y123">
            <v>0</v>
          </cell>
          <cell r="Z123">
            <v>0</v>
          </cell>
          <cell r="AA123">
            <v>0</v>
          </cell>
          <cell r="AB123">
            <v>0</v>
          </cell>
          <cell r="AC123">
            <v>0</v>
          </cell>
          <cell r="AD123">
            <v>0</v>
          </cell>
          <cell r="AE123">
            <v>0</v>
          </cell>
        </row>
        <row r="124">
          <cell r="A124" t="str">
            <v>Total US - Homedepot.com</v>
          </cell>
          <cell r="B124" t="str">
            <v>Total US - Internet</v>
          </cell>
          <cell r="C124">
            <v>121171760.292236</v>
          </cell>
          <cell r="D124">
            <v>1364454.2512207</v>
          </cell>
          <cell r="E124">
            <v>1.12604970657353</v>
          </cell>
          <cell r="F124">
            <v>119807306.041016</v>
          </cell>
          <cell r="G124">
            <v>98.8739502934265</v>
          </cell>
          <cell r="H124">
            <v>61518209.9918823</v>
          </cell>
          <cell r="I124" t="str">
            <v>Internet</v>
          </cell>
          <cell r="J124">
            <v>0</v>
          </cell>
          <cell r="K124">
            <v>0</v>
          </cell>
          <cell r="L124">
            <v>0</v>
          </cell>
          <cell r="M124">
            <v>0</v>
          </cell>
          <cell r="N124">
            <v>0</v>
          </cell>
          <cell r="O124">
            <v>0</v>
          </cell>
          <cell r="P124">
            <v>0</v>
          </cell>
          <cell r="Q124">
            <v>0</v>
          </cell>
          <cell r="R124">
            <v>1017625.85098267</v>
          </cell>
          <cell r="S124">
            <v>-118594.53918457</v>
          </cell>
          <cell r="T124">
            <v>-0.108238898892958</v>
          </cell>
          <cell r="U124">
            <v>1136220.39016724</v>
          </cell>
          <cell r="V124">
            <v>0.108238898892964</v>
          </cell>
          <cell r="W124">
            <v>-1855949.2237854</v>
          </cell>
          <cell r="X124">
            <v>0</v>
          </cell>
          <cell r="Y124">
            <v>0</v>
          </cell>
          <cell r="Z124">
            <v>0</v>
          </cell>
          <cell r="AA124">
            <v>0</v>
          </cell>
          <cell r="AB124">
            <v>0</v>
          </cell>
          <cell r="AC124">
            <v>0</v>
          </cell>
          <cell r="AD124">
            <v>0</v>
          </cell>
          <cell r="AE124">
            <v>0</v>
          </cell>
        </row>
        <row r="125">
          <cell r="A125" t="str">
            <v>Total US - Homeshopnet.com</v>
          </cell>
          <cell r="B125" t="str">
            <v>Total US - Internet</v>
          </cell>
          <cell r="C125">
            <v>121171760.292236</v>
          </cell>
          <cell r="D125">
            <v>710465.702087402</v>
          </cell>
          <cell r="E125">
            <v>0.586329438785023</v>
          </cell>
          <cell r="F125">
            <v>120461294.590149</v>
          </cell>
          <cell r="G125">
            <v>99.413670561215</v>
          </cell>
          <cell r="H125">
            <v>61518209.9918823</v>
          </cell>
          <cell r="I125" t="str">
            <v>Internet</v>
          </cell>
          <cell r="J125">
            <v>0</v>
          </cell>
          <cell r="K125">
            <v>0</v>
          </cell>
          <cell r="L125">
            <v>0</v>
          </cell>
          <cell r="M125">
            <v>0</v>
          </cell>
          <cell r="N125">
            <v>0</v>
          </cell>
          <cell r="O125">
            <v>0</v>
          </cell>
          <cell r="P125">
            <v>0</v>
          </cell>
          <cell r="Q125">
            <v>0</v>
          </cell>
          <cell r="R125">
            <v>1017625.85098267</v>
          </cell>
          <cell r="S125">
            <v>-108455.457061768</v>
          </cell>
          <cell r="T125">
            <v>-0.0952294297111428</v>
          </cell>
          <cell r="U125">
            <v>1126081.30804443</v>
          </cell>
          <cell r="V125">
            <v>0.0952294297111393</v>
          </cell>
          <cell r="W125">
            <v>-1855949.2237854</v>
          </cell>
          <cell r="X125">
            <v>0</v>
          </cell>
          <cell r="Y125">
            <v>0</v>
          </cell>
          <cell r="Z125">
            <v>0</v>
          </cell>
          <cell r="AA125">
            <v>0</v>
          </cell>
          <cell r="AB125">
            <v>0</v>
          </cell>
          <cell r="AC125">
            <v>0</v>
          </cell>
          <cell r="AD125">
            <v>0</v>
          </cell>
          <cell r="AE125">
            <v>0</v>
          </cell>
        </row>
        <row r="126">
          <cell r="A126" t="str">
            <v>Total US - Kmart.com</v>
          </cell>
          <cell r="B126" t="str">
            <v>Total US - Internet</v>
          </cell>
          <cell r="C126">
            <v>121171760.292236</v>
          </cell>
          <cell r="D126">
            <v>2618421.93438721</v>
          </cell>
          <cell r="E126">
            <v>2.16091763301302</v>
          </cell>
          <cell r="F126">
            <v>118553338.357849</v>
          </cell>
          <cell r="G126">
            <v>97.839082366987</v>
          </cell>
          <cell r="H126">
            <v>61518209.9918823</v>
          </cell>
          <cell r="I126" t="str">
            <v>Internet</v>
          </cell>
          <cell r="J126">
            <v>0</v>
          </cell>
          <cell r="K126">
            <v>0</v>
          </cell>
          <cell r="L126">
            <v>0</v>
          </cell>
          <cell r="M126">
            <v>0</v>
          </cell>
          <cell r="N126">
            <v>0</v>
          </cell>
          <cell r="O126">
            <v>5.12967829161044</v>
          </cell>
          <cell r="P126">
            <v>259917.685345998</v>
          </cell>
          <cell r="Q126">
            <v>0</v>
          </cell>
          <cell r="R126">
            <v>1017625.85098267</v>
          </cell>
          <cell r="S126">
            <v>-2474997.45904541</v>
          </cell>
          <cell r="T126">
            <v>-2.07815363749987</v>
          </cell>
          <cell r="U126">
            <v>3492623.31002808</v>
          </cell>
          <cell r="V126">
            <v>2.07815363749987</v>
          </cell>
          <cell r="W126">
            <v>-1855949.2237854</v>
          </cell>
          <cell r="X126">
            <v>0</v>
          </cell>
          <cell r="Y126">
            <v>0</v>
          </cell>
          <cell r="Z126">
            <v>0</v>
          </cell>
          <cell r="AA126">
            <v>0</v>
          </cell>
          <cell r="AB126">
            <v>0</v>
          </cell>
          <cell r="AC126">
            <v>0</v>
          </cell>
          <cell r="AD126">
            <v>-1.23278726272779</v>
          </cell>
          <cell r="AE126">
            <v>0</v>
          </cell>
        </row>
        <row r="127">
          <cell r="A127" t="str">
            <v>Total US - Meijer.com</v>
          </cell>
          <cell r="B127" t="str">
            <v>Total US - Internet</v>
          </cell>
          <cell r="C127">
            <v>121171760.292236</v>
          </cell>
          <cell r="D127">
            <v>900783.834228516</v>
          </cell>
          <cell r="E127">
            <v>0.743394196845905</v>
          </cell>
          <cell r="F127">
            <v>120270976.458008</v>
          </cell>
          <cell r="G127">
            <v>99.2566058031541</v>
          </cell>
          <cell r="H127">
            <v>61518209.9918823</v>
          </cell>
          <cell r="I127" t="str">
            <v>Internet</v>
          </cell>
          <cell r="J127">
            <v>0</v>
          </cell>
          <cell r="K127">
            <v>0</v>
          </cell>
          <cell r="L127">
            <v>0</v>
          </cell>
          <cell r="M127">
            <v>0</v>
          </cell>
          <cell r="N127">
            <v>0</v>
          </cell>
          <cell r="O127">
            <v>13.4042821471982</v>
          </cell>
          <cell r="P127">
            <v>115900.441166089</v>
          </cell>
          <cell r="Q127">
            <v>0</v>
          </cell>
          <cell r="R127">
            <v>1017625.85098267</v>
          </cell>
          <cell r="S127">
            <v>127350.116455078</v>
          </cell>
          <cell r="T127">
            <v>0.0996929031949667</v>
          </cell>
          <cell r="U127">
            <v>890275.734527588</v>
          </cell>
          <cell r="V127">
            <v>-0.0996929031949634</v>
          </cell>
          <cell r="W127">
            <v>-1855949.2237854</v>
          </cell>
          <cell r="X127">
            <v>0</v>
          </cell>
          <cell r="Y127">
            <v>0</v>
          </cell>
          <cell r="Z127">
            <v>0</v>
          </cell>
          <cell r="AA127">
            <v>0</v>
          </cell>
          <cell r="AB127">
            <v>0</v>
          </cell>
          <cell r="AC127">
            <v>0</v>
          </cell>
          <cell r="AD127">
            <v>-0.504546757849878</v>
          </cell>
          <cell r="AE127">
            <v>0</v>
          </cell>
        </row>
        <row r="128">
          <cell r="A128" t="str">
            <v>Total US - Officedepot.com</v>
          </cell>
          <cell r="B128" t="str">
            <v>Total US - Internet</v>
          </cell>
          <cell r="C128">
            <v>121171760.292236</v>
          </cell>
          <cell r="D128">
            <v>767893.266235352</v>
          </cell>
          <cell r="E128">
            <v>0.633722960187574</v>
          </cell>
          <cell r="F128">
            <v>120403867.026001</v>
          </cell>
          <cell r="G128">
            <v>99.3662770398124</v>
          </cell>
          <cell r="H128">
            <v>61518209.9918823</v>
          </cell>
          <cell r="I128" t="str">
            <v>Internet</v>
          </cell>
          <cell r="J128">
            <v>0</v>
          </cell>
          <cell r="K128">
            <v>0</v>
          </cell>
          <cell r="L128">
            <v>0</v>
          </cell>
          <cell r="M128">
            <v>0</v>
          </cell>
          <cell r="N128">
            <v>0</v>
          </cell>
          <cell r="O128">
            <v>0</v>
          </cell>
          <cell r="P128">
            <v>0</v>
          </cell>
          <cell r="Q128">
            <v>0</v>
          </cell>
          <cell r="R128">
            <v>1017625.85098267</v>
          </cell>
          <cell r="S128">
            <v>9353.68124389648</v>
          </cell>
          <cell r="T128">
            <v>0.00241752195288414</v>
          </cell>
          <cell r="U128">
            <v>1008272.16973877</v>
          </cell>
          <cell r="V128">
            <v>-0.00241752195287859</v>
          </cell>
          <cell r="W128">
            <v>-1855949.2237854</v>
          </cell>
          <cell r="X128">
            <v>0</v>
          </cell>
          <cell r="Y128">
            <v>0</v>
          </cell>
          <cell r="Z128">
            <v>0</v>
          </cell>
          <cell r="AA128">
            <v>0</v>
          </cell>
          <cell r="AB128">
            <v>0</v>
          </cell>
          <cell r="AC128">
            <v>0</v>
          </cell>
          <cell r="AD128">
            <v>0</v>
          </cell>
          <cell r="AE128">
            <v>0</v>
          </cell>
        </row>
        <row r="129">
          <cell r="A129" t="str">
            <v>Total US - Peapod.com</v>
          </cell>
          <cell r="B129" t="str">
            <v>Total US - Internet</v>
          </cell>
          <cell r="C129">
            <v>121171760.292236</v>
          </cell>
          <cell r="D129">
            <v>340113.184143066</v>
          </cell>
          <cell r="E129">
            <v>0.280686839345073</v>
          </cell>
          <cell r="F129">
            <v>120831647.108093</v>
          </cell>
          <cell r="G129">
            <v>99.7193131606549</v>
          </cell>
          <cell r="H129">
            <v>61518209.9918823</v>
          </cell>
          <cell r="I129" t="str">
            <v>Internet</v>
          </cell>
          <cell r="J129">
            <v>0</v>
          </cell>
          <cell r="K129">
            <v>0</v>
          </cell>
          <cell r="L129">
            <v>0</v>
          </cell>
          <cell r="M129">
            <v>0</v>
          </cell>
          <cell r="N129">
            <v>0</v>
          </cell>
          <cell r="O129">
            <v>0</v>
          </cell>
          <cell r="P129">
            <v>0</v>
          </cell>
          <cell r="Q129">
            <v>0</v>
          </cell>
          <cell r="R129">
            <v>1017625.85098267</v>
          </cell>
          <cell r="S129">
            <v>-43033.837890625</v>
          </cell>
          <cell r="T129">
            <v>-0.0381927596095692</v>
          </cell>
          <cell r="U129">
            <v>1060659.68887329</v>
          </cell>
          <cell r="V129">
            <v>0.0381927596095579</v>
          </cell>
          <cell r="W129">
            <v>-1855949.2237854</v>
          </cell>
          <cell r="X129">
            <v>0</v>
          </cell>
          <cell r="Y129">
            <v>0</v>
          </cell>
          <cell r="Z129">
            <v>0</v>
          </cell>
          <cell r="AA129">
            <v>0</v>
          </cell>
          <cell r="AB129">
            <v>0</v>
          </cell>
          <cell r="AC129">
            <v>0</v>
          </cell>
          <cell r="AD129">
            <v>0</v>
          </cell>
          <cell r="AE129">
            <v>0</v>
          </cell>
        </row>
        <row r="130">
          <cell r="A130" t="str">
            <v>Total US - Petco.com</v>
          </cell>
          <cell r="B130" t="str">
            <v>Total US - Internet</v>
          </cell>
          <cell r="C130">
            <v>121171760.292236</v>
          </cell>
          <cell r="D130">
            <v>700358.380493164</v>
          </cell>
          <cell r="E130">
            <v>0.57798812099789</v>
          </cell>
          <cell r="F130">
            <v>120471401.911743</v>
          </cell>
          <cell r="G130">
            <v>99.4220118790021</v>
          </cell>
          <cell r="H130">
            <v>61518209.9918823</v>
          </cell>
          <cell r="I130" t="str">
            <v>Internet</v>
          </cell>
          <cell r="J130">
            <v>0</v>
          </cell>
          <cell r="K130">
            <v>0</v>
          </cell>
          <cell r="L130">
            <v>0</v>
          </cell>
          <cell r="M130">
            <v>0</v>
          </cell>
          <cell r="N130">
            <v>0</v>
          </cell>
          <cell r="O130">
            <v>0</v>
          </cell>
          <cell r="P130">
            <v>0</v>
          </cell>
          <cell r="Q130">
            <v>0</v>
          </cell>
          <cell r="R130">
            <v>1017625.85098267</v>
          </cell>
          <cell r="S130">
            <v>-35027.3096923828</v>
          </cell>
          <cell r="T130">
            <v>-0.034047156527325</v>
          </cell>
          <cell r="U130">
            <v>1052653.16067505</v>
          </cell>
          <cell r="V130">
            <v>0.0340471565273219</v>
          </cell>
          <cell r="W130">
            <v>-1855949.2237854</v>
          </cell>
          <cell r="X130">
            <v>0</v>
          </cell>
          <cell r="Y130">
            <v>0</v>
          </cell>
          <cell r="Z130">
            <v>0</v>
          </cell>
          <cell r="AA130">
            <v>0</v>
          </cell>
          <cell r="AB130">
            <v>0</v>
          </cell>
          <cell r="AC130">
            <v>0</v>
          </cell>
          <cell r="AD130">
            <v>0</v>
          </cell>
          <cell r="AE130">
            <v>0</v>
          </cell>
        </row>
        <row r="131">
          <cell r="A131" t="str">
            <v>Total US - Petsmart.com</v>
          </cell>
          <cell r="B131" t="str">
            <v>Total US - Internet</v>
          </cell>
          <cell r="C131">
            <v>121171760.292236</v>
          </cell>
          <cell r="D131">
            <v>859766.878295898</v>
          </cell>
          <cell r="E131">
            <v>0.709543936823525</v>
          </cell>
          <cell r="F131">
            <v>120311993.41394</v>
          </cell>
          <cell r="G131">
            <v>99.2904560631765</v>
          </cell>
          <cell r="H131">
            <v>61518209.9918823</v>
          </cell>
          <cell r="I131" t="str">
            <v>Internet</v>
          </cell>
          <cell r="J131">
            <v>0</v>
          </cell>
          <cell r="K131">
            <v>0</v>
          </cell>
          <cell r="L131">
            <v>0</v>
          </cell>
          <cell r="M131">
            <v>0</v>
          </cell>
          <cell r="N131">
            <v>0</v>
          </cell>
          <cell r="O131">
            <v>0</v>
          </cell>
          <cell r="P131">
            <v>0</v>
          </cell>
          <cell r="Q131">
            <v>0</v>
          </cell>
          <cell r="R131">
            <v>1017625.85098267</v>
          </cell>
          <cell r="S131">
            <v>-34606.4739074707</v>
          </cell>
          <cell r="T131">
            <v>-0.0348111004479144</v>
          </cell>
          <cell r="U131">
            <v>1052232.32489014</v>
          </cell>
          <cell r="V131">
            <v>0.0348111004479108</v>
          </cell>
          <cell r="W131">
            <v>-1855949.2237854</v>
          </cell>
          <cell r="X131">
            <v>0</v>
          </cell>
          <cell r="Y131">
            <v>0</v>
          </cell>
          <cell r="Z131">
            <v>0</v>
          </cell>
          <cell r="AA131">
            <v>0</v>
          </cell>
          <cell r="AB131">
            <v>0</v>
          </cell>
          <cell r="AC131">
            <v>0</v>
          </cell>
          <cell r="AD131">
            <v>0</v>
          </cell>
          <cell r="AE131">
            <v>0</v>
          </cell>
        </row>
        <row r="132">
          <cell r="A132" t="str">
            <v>Total US - Puritan.com</v>
          </cell>
          <cell r="B132" t="str">
            <v>Total US - Internet</v>
          </cell>
          <cell r="C132">
            <v>121171760.292236</v>
          </cell>
          <cell r="D132">
            <v>788125.647216797</v>
          </cell>
          <cell r="E132">
            <v>0.650420234315349</v>
          </cell>
          <cell r="F132">
            <v>120383634.64502</v>
          </cell>
          <cell r="G132">
            <v>99.3495797656847</v>
          </cell>
          <cell r="H132">
            <v>61518209.9918823</v>
          </cell>
          <cell r="I132" t="str">
            <v>Internet</v>
          </cell>
          <cell r="J132">
            <v>0</v>
          </cell>
          <cell r="K132">
            <v>0</v>
          </cell>
          <cell r="L132">
            <v>0</v>
          </cell>
          <cell r="M132">
            <v>0</v>
          </cell>
          <cell r="N132">
            <v>0</v>
          </cell>
          <cell r="O132">
            <v>0</v>
          </cell>
          <cell r="P132">
            <v>0</v>
          </cell>
          <cell r="Q132">
            <v>0</v>
          </cell>
          <cell r="R132">
            <v>1017625.85098267</v>
          </cell>
          <cell r="S132">
            <v>-1038.07427978516</v>
          </cell>
          <cell r="T132">
            <v>-0.00637258031927634</v>
          </cell>
          <cell r="U132">
            <v>1018663.92526245</v>
          </cell>
          <cell r="V132">
            <v>0.00637258031927956</v>
          </cell>
          <cell r="W132">
            <v>-1855949.2237854</v>
          </cell>
          <cell r="X132">
            <v>0</v>
          </cell>
          <cell r="Y132">
            <v>0</v>
          </cell>
          <cell r="Z132">
            <v>0</v>
          </cell>
          <cell r="AA132">
            <v>0</v>
          </cell>
          <cell r="AB132">
            <v>0</v>
          </cell>
          <cell r="AC132">
            <v>0</v>
          </cell>
          <cell r="AD132">
            <v>0</v>
          </cell>
          <cell r="AE132">
            <v>0</v>
          </cell>
        </row>
        <row r="133">
          <cell r="A133" t="str">
            <v>Total US - QVC.com</v>
          </cell>
          <cell r="B133" t="str">
            <v>Total US - Internet</v>
          </cell>
          <cell r="C133">
            <v>121171760.292236</v>
          </cell>
          <cell r="D133">
            <v>1412994.66418457</v>
          </cell>
          <cell r="E133">
            <v>1.16610888607773</v>
          </cell>
          <cell r="F133">
            <v>119758765.628052</v>
          </cell>
          <cell r="G133">
            <v>98.8338911139223</v>
          </cell>
          <cell r="H133">
            <v>61518209.9918823</v>
          </cell>
          <cell r="I133" t="str">
            <v>Internet</v>
          </cell>
          <cell r="J133">
            <v>0</v>
          </cell>
          <cell r="K133">
            <v>0</v>
          </cell>
          <cell r="L133">
            <v>0</v>
          </cell>
          <cell r="M133">
            <v>0</v>
          </cell>
          <cell r="N133">
            <v>0</v>
          </cell>
          <cell r="O133">
            <v>0</v>
          </cell>
          <cell r="P133">
            <v>0</v>
          </cell>
          <cell r="Q133">
            <v>0</v>
          </cell>
          <cell r="R133">
            <v>1017625.85098267</v>
          </cell>
          <cell r="S133">
            <v>59551.6165161133</v>
          </cell>
          <cell r="T133">
            <v>0.0396865170412379</v>
          </cell>
          <cell r="U133">
            <v>958074.234466553</v>
          </cell>
          <cell r="V133">
            <v>-0.0396865170412326</v>
          </cell>
          <cell r="W133">
            <v>-1855949.2237854</v>
          </cell>
          <cell r="X133">
            <v>0</v>
          </cell>
          <cell r="Y133">
            <v>0</v>
          </cell>
          <cell r="Z133">
            <v>0</v>
          </cell>
          <cell r="AA133">
            <v>0</v>
          </cell>
          <cell r="AB133">
            <v>0</v>
          </cell>
          <cell r="AC133">
            <v>0</v>
          </cell>
          <cell r="AD133">
            <v>0</v>
          </cell>
          <cell r="AE133">
            <v>0</v>
          </cell>
        </row>
        <row r="134">
          <cell r="A134" t="str">
            <v>Total US - Riteaid.com</v>
          </cell>
          <cell r="B134" t="str">
            <v>Total US - Internet</v>
          </cell>
          <cell r="C134">
            <v>121171760.292236</v>
          </cell>
          <cell r="D134">
            <v>544360.467102051</v>
          </cell>
          <cell r="E134">
            <v>0.44924697453366</v>
          </cell>
          <cell r="F134">
            <v>120627399.825134</v>
          </cell>
          <cell r="G134">
            <v>99.5507530254663</v>
          </cell>
          <cell r="H134">
            <v>61518209.9918823</v>
          </cell>
          <cell r="I134" t="str">
            <v>Internet</v>
          </cell>
          <cell r="J134">
            <v>0</v>
          </cell>
          <cell r="K134">
            <v>0</v>
          </cell>
          <cell r="L134">
            <v>0</v>
          </cell>
          <cell r="M134">
            <v>0</v>
          </cell>
          <cell r="N134">
            <v>0</v>
          </cell>
          <cell r="O134">
            <v>0</v>
          </cell>
          <cell r="P134">
            <v>0</v>
          </cell>
          <cell r="Q134">
            <v>0</v>
          </cell>
          <cell r="R134">
            <v>1017625.85098267</v>
          </cell>
          <cell r="S134">
            <v>-34904.2798461914</v>
          </cell>
          <cell r="T134">
            <v>-0.0328544110257848</v>
          </cell>
          <cell r="U134">
            <v>1052530.13082886</v>
          </cell>
          <cell r="V134">
            <v>0.0328544110257809</v>
          </cell>
          <cell r="W134">
            <v>-1855949.2237854</v>
          </cell>
          <cell r="X134">
            <v>0</v>
          </cell>
          <cell r="Y134">
            <v>0</v>
          </cell>
          <cell r="Z134">
            <v>0</v>
          </cell>
          <cell r="AA134">
            <v>0</v>
          </cell>
          <cell r="AB134">
            <v>0</v>
          </cell>
          <cell r="AC134">
            <v>0</v>
          </cell>
          <cell r="AD134">
            <v>0</v>
          </cell>
          <cell r="AE134">
            <v>0</v>
          </cell>
        </row>
        <row r="135">
          <cell r="A135" t="str">
            <v>Total US - Safeway.com</v>
          </cell>
          <cell r="B135" t="str">
            <v>Total US - Internet</v>
          </cell>
          <cell r="C135">
            <v>121171760.292236</v>
          </cell>
          <cell r="D135">
            <v>874812.280456543</v>
          </cell>
          <cell r="E135">
            <v>0.721960528052668</v>
          </cell>
          <cell r="F135">
            <v>120296948.01178</v>
          </cell>
          <cell r="G135">
            <v>99.2780394719473</v>
          </cell>
          <cell r="H135">
            <v>61518209.9918823</v>
          </cell>
          <cell r="I135" t="str">
            <v>Internet</v>
          </cell>
          <cell r="J135">
            <v>0</v>
          </cell>
          <cell r="K135">
            <v>0</v>
          </cell>
          <cell r="L135">
            <v>0</v>
          </cell>
          <cell r="M135">
            <v>0</v>
          </cell>
          <cell r="N135">
            <v>0</v>
          </cell>
          <cell r="O135">
            <v>0</v>
          </cell>
          <cell r="P135">
            <v>0</v>
          </cell>
          <cell r="Q135">
            <v>0</v>
          </cell>
          <cell r="R135">
            <v>1017625.85098267</v>
          </cell>
          <cell r="S135">
            <v>14483.1759643555</v>
          </cell>
          <cell r="T135">
            <v>0.00593930373697593</v>
          </cell>
          <cell r="U135">
            <v>1003142.67501831</v>
          </cell>
          <cell r="V135">
            <v>-0.00593930373696594</v>
          </cell>
          <cell r="W135">
            <v>-1855949.2237854</v>
          </cell>
          <cell r="X135">
            <v>0</v>
          </cell>
          <cell r="Y135">
            <v>0</v>
          </cell>
          <cell r="Z135">
            <v>0</v>
          </cell>
          <cell r="AA135">
            <v>0</v>
          </cell>
          <cell r="AB135">
            <v>0</v>
          </cell>
          <cell r="AC135">
            <v>0</v>
          </cell>
          <cell r="AD135">
            <v>0</v>
          </cell>
          <cell r="AE135">
            <v>0</v>
          </cell>
        </row>
        <row r="136">
          <cell r="A136" t="str">
            <v>Total US - SamsClub.com</v>
          </cell>
          <cell r="B136" t="str">
            <v>Total US - Internet</v>
          </cell>
          <cell r="C136">
            <v>121171760.292236</v>
          </cell>
          <cell r="D136">
            <v>3003065.34979248</v>
          </cell>
          <cell r="E136">
            <v>2.47835414996847</v>
          </cell>
          <cell r="F136">
            <v>118168694.942444</v>
          </cell>
          <cell r="G136">
            <v>97.5216458500315</v>
          </cell>
          <cell r="H136">
            <v>61518209.9918823</v>
          </cell>
          <cell r="I136" t="str">
            <v>Internet</v>
          </cell>
          <cell r="J136">
            <v>99.6813066661854</v>
          </cell>
          <cell r="K136">
            <v>196054.434326172</v>
          </cell>
          <cell r="L136">
            <v>0</v>
          </cell>
          <cell r="M136">
            <v>4093044.57958984</v>
          </cell>
          <cell r="N136">
            <v>0</v>
          </cell>
          <cell r="O136">
            <v>14.7013792702486</v>
          </cell>
          <cell r="P136">
            <v>850761.788619135</v>
          </cell>
          <cell r="Q136">
            <v>0</v>
          </cell>
          <cell r="R136">
            <v>1017625.85098267</v>
          </cell>
          <cell r="S136">
            <v>145751.731445313</v>
          </cell>
          <cell r="T136">
            <v>0.100313950491036</v>
          </cell>
          <cell r="U136">
            <v>871874.119537354</v>
          </cell>
          <cell r="V136">
            <v>-0.100313950491042</v>
          </cell>
          <cell r="W136">
            <v>-1855949.2237854</v>
          </cell>
          <cell r="X136">
            <v>0</v>
          </cell>
          <cell r="Y136">
            <v>-0.000346890608383887</v>
          </cell>
          <cell r="Z136">
            <v>-5694.94744873047</v>
          </cell>
          <cell r="AA136">
            <v>0</v>
          </cell>
          <cell r="AB136">
            <v>691797.208862305</v>
          </cell>
          <cell r="AC136">
            <v>0</v>
          </cell>
          <cell r="AD136">
            <v>-1.91592935882234</v>
          </cell>
          <cell r="AE136">
            <v>0</v>
          </cell>
        </row>
        <row r="137">
          <cell r="A137" t="str">
            <v>Total US - Sears.com</v>
          </cell>
          <cell r="B137" t="str">
            <v>Total US - Internet</v>
          </cell>
          <cell r="C137">
            <v>121171760.292236</v>
          </cell>
          <cell r="D137">
            <v>1944409.14984131</v>
          </cell>
          <cell r="E137">
            <v>1.60467186838903</v>
          </cell>
          <cell r="F137">
            <v>119227351.142395</v>
          </cell>
          <cell r="G137">
            <v>98.395328131611</v>
          </cell>
          <cell r="H137">
            <v>61518209.9918823</v>
          </cell>
          <cell r="I137" t="str">
            <v>Internet</v>
          </cell>
          <cell r="J137">
            <v>0</v>
          </cell>
          <cell r="K137">
            <v>0</v>
          </cell>
          <cell r="L137">
            <v>0</v>
          </cell>
          <cell r="M137">
            <v>0</v>
          </cell>
          <cell r="N137">
            <v>0</v>
          </cell>
          <cell r="O137">
            <v>0</v>
          </cell>
          <cell r="P137">
            <v>0</v>
          </cell>
          <cell r="Q137">
            <v>0</v>
          </cell>
          <cell r="R137">
            <v>1017625.85098267</v>
          </cell>
          <cell r="S137">
            <v>-244498.33203125</v>
          </cell>
          <cell r="T137">
            <v>-0.21707774684603</v>
          </cell>
          <cell r="U137">
            <v>1262124.18301392</v>
          </cell>
          <cell r="V137">
            <v>0.21707774684603</v>
          </cell>
          <cell r="W137">
            <v>-1855949.2237854</v>
          </cell>
          <cell r="X137">
            <v>0</v>
          </cell>
          <cell r="Y137">
            <v>0</v>
          </cell>
          <cell r="Z137">
            <v>0</v>
          </cell>
          <cell r="AA137">
            <v>0</v>
          </cell>
          <cell r="AB137">
            <v>0</v>
          </cell>
          <cell r="AC137">
            <v>0</v>
          </cell>
          <cell r="AD137">
            <v>0</v>
          </cell>
          <cell r="AE137">
            <v>0</v>
          </cell>
        </row>
        <row r="138">
          <cell r="A138" t="str">
            <v>Total US - Shoprite.com</v>
          </cell>
          <cell r="B138" t="str">
            <v>Total US - Internet</v>
          </cell>
          <cell r="C138">
            <v>121171760.292236</v>
          </cell>
          <cell r="D138">
            <v>836075.473693848</v>
          </cell>
          <cell r="E138">
            <v>0.689992017675934</v>
          </cell>
          <cell r="F138">
            <v>120335684.818542</v>
          </cell>
          <cell r="G138">
            <v>99.3100079823241</v>
          </cell>
          <cell r="H138">
            <v>61518209.9918823</v>
          </cell>
          <cell r="I138" t="str">
            <v>Internet</v>
          </cell>
          <cell r="J138">
            <v>0</v>
          </cell>
          <cell r="K138">
            <v>0</v>
          </cell>
          <cell r="L138">
            <v>0</v>
          </cell>
          <cell r="M138">
            <v>0</v>
          </cell>
          <cell r="N138">
            <v>0</v>
          </cell>
          <cell r="O138">
            <v>25.0228854210632</v>
          </cell>
          <cell r="P138">
            <v>130904.980163887</v>
          </cell>
          <cell r="Q138">
            <v>0</v>
          </cell>
          <cell r="R138">
            <v>1017625.85098267</v>
          </cell>
          <cell r="S138">
            <v>-46316.7926635742</v>
          </cell>
          <cell r="T138">
            <v>-0.0443915892309472</v>
          </cell>
          <cell r="U138">
            <v>1063942.64364624</v>
          </cell>
          <cell r="V138">
            <v>0.0443915892309406</v>
          </cell>
          <cell r="W138">
            <v>-1855949.2237854</v>
          </cell>
          <cell r="X138">
            <v>0</v>
          </cell>
          <cell r="Y138">
            <v>0</v>
          </cell>
          <cell r="Z138">
            <v>0</v>
          </cell>
          <cell r="AA138">
            <v>0</v>
          </cell>
          <cell r="AB138">
            <v>0</v>
          </cell>
          <cell r="AC138">
            <v>0</v>
          </cell>
          <cell r="AD138">
            <v>3.06544918514447</v>
          </cell>
          <cell r="AE138">
            <v>0</v>
          </cell>
        </row>
        <row r="139">
          <cell r="A139" t="str">
            <v>Total US - Staples.com</v>
          </cell>
          <cell r="B139" t="str">
            <v>Total US - Internet</v>
          </cell>
          <cell r="C139">
            <v>121171760.292236</v>
          </cell>
          <cell r="D139">
            <v>2443085.70159912</v>
          </cell>
          <cell r="E139">
            <v>2.01621705891455</v>
          </cell>
          <cell r="F139">
            <v>118728674.590637</v>
          </cell>
          <cell r="G139">
            <v>97.9837829410855</v>
          </cell>
          <cell r="H139">
            <v>61518209.9918823</v>
          </cell>
          <cell r="I139" t="str">
            <v>Internet</v>
          </cell>
          <cell r="J139">
            <v>0</v>
          </cell>
          <cell r="K139">
            <v>0</v>
          </cell>
          <cell r="L139">
            <v>0</v>
          </cell>
          <cell r="M139">
            <v>0</v>
          </cell>
          <cell r="N139">
            <v>0</v>
          </cell>
          <cell r="O139">
            <v>0</v>
          </cell>
          <cell r="P139">
            <v>0</v>
          </cell>
          <cell r="Q139">
            <v>0</v>
          </cell>
          <cell r="R139">
            <v>1017625.85098267</v>
          </cell>
          <cell r="S139">
            <v>27659.6783752441</v>
          </cell>
          <cell r="T139">
            <v>0.00594414200145499</v>
          </cell>
          <cell r="U139">
            <v>989966.172607422</v>
          </cell>
          <cell r="V139">
            <v>-0.00594414200145366</v>
          </cell>
          <cell r="W139">
            <v>-1855949.2237854</v>
          </cell>
          <cell r="X139">
            <v>0</v>
          </cell>
          <cell r="Y139">
            <v>0</v>
          </cell>
          <cell r="Z139">
            <v>0</v>
          </cell>
          <cell r="AA139">
            <v>0</v>
          </cell>
          <cell r="AB139">
            <v>0</v>
          </cell>
          <cell r="AC139">
            <v>0</v>
          </cell>
          <cell r="AD139">
            <v>0</v>
          </cell>
          <cell r="AE139">
            <v>0</v>
          </cell>
        </row>
        <row r="140">
          <cell r="A140" t="str">
            <v>Total US - Target.com</v>
          </cell>
          <cell r="B140" t="str">
            <v>Total US - Internet</v>
          </cell>
          <cell r="C140">
            <v>121171760.292236</v>
          </cell>
          <cell r="D140">
            <v>5894804.65423584</v>
          </cell>
          <cell r="E140">
            <v>4.8648337203479</v>
          </cell>
          <cell r="F140">
            <v>115276955.638</v>
          </cell>
          <cell r="G140">
            <v>95.1351662796521</v>
          </cell>
          <cell r="H140">
            <v>61518209.9918823</v>
          </cell>
          <cell r="I140" t="str">
            <v>Internet</v>
          </cell>
          <cell r="J140">
            <v>99.7039418747657</v>
          </cell>
          <cell r="K140">
            <v>182129.659179688</v>
          </cell>
          <cell r="L140">
            <v>0</v>
          </cell>
          <cell r="M140">
            <v>0</v>
          </cell>
          <cell r="N140">
            <v>0</v>
          </cell>
          <cell r="O140">
            <v>4.74806819367295</v>
          </cell>
          <cell r="P140">
            <v>1316858.25396986</v>
          </cell>
          <cell r="Q140">
            <v>0</v>
          </cell>
          <cell r="R140">
            <v>1017625.85098267</v>
          </cell>
          <cell r="S140">
            <v>636618.510070801</v>
          </cell>
          <cell r="T140">
            <v>0.488632960701217</v>
          </cell>
          <cell r="U140">
            <v>381007.340911865</v>
          </cell>
          <cell r="V140">
            <v>-0.488632960701224</v>
          </cell>
          <cell r="W140">
            <v>-1855949.2237854</v>
          </cell>
          <cell r="X140">
            <v>0</v>
          </cell>
          <cell r="Y140">
            <v>-0.0248285183448758</v>
          </cell>
          <cell r="Z140">
            <v>10240.1762695313</v>
          </cell>
          <cell r="AA140">
            <v>0</v>
          </cell>
          <cell r="AB140">
            <v>0</v>
          </cell>
          <cell r="AC140">
            <v>0</v>
          </cell>
          <cell r="AD140">
            <v>-0.195777219863273</v>
          </cell>
          <cell r="AE140">
            <v>0</v>
          </cell>
        </row>
        <row r="141">
          <cell r="A141" t="str">
            <v>Total US - Ulta.com</v>
          </cell>
          <cell r="B141" t="str">
            <v>Total US - Internet</v>
          </cell>
          <cell r="C141">
            <v>121171760.292236</v>
          </cell>
          <cell r="D141">
            <v>654080.732788086</v>
          </cell>
          <cell r="E141">
            <v>0.539796344635586</v>
          </cell>
          <cell r="F141">
            <v>120517679.559448</v>
          </cell>
          <cell r="G141">
            <v>99.4602036553644</v>
          </cell>
          <cell r="H141">
            <v>61518209.9918823</v>
          </cell>
          <cell r="I141" t="str">
            <v>Internet</v>
          </cell>
          <cell r="J141">
            <v>0</v>
          </cell>
          <cell r="K141">
            <v>0</v>
          </cell>
          <cell r="L141">
            <v>0</v>
          </cell>
          <cell r="M141">
            <v>0</v>
          </cell>
          <cell r="N141">
            <v>0</v>
          </cell>
          <cell r="O141">
            <v>0</v>
          </cell>
          <cell r="P141">
            <v>0</v>
          </cell>
          <cell r="Q141">
            <v>0</v>
          </cell>
          <cell r="R141">
            <v>1017625.85098267</v>
          </cell>
          <cell r="S141">
            <v>-66530.2734985352</v>
          </cell>
          <cell r="T141">
            <v>-0.059942490517811</v>
          </cell>
          <cell r="U141">
            <v>1084156.1244812</v>
          </cell>
          <cell r="V141">
            <v>0.0599424905178125</v>
          </cell>
          <cell r="W141">
            <v>-1855949.2237854</v>
          </cell>
          <cell r="X141">
            <v>0</v>
          </cell>
          <cell r="Y141">
            <v>0</v>
          </cell>
          <cell r="Z141">
            <v>0</v>
          </cell>
          <cell r="AA141">
            <v>0</v>
          </cell>
          <cell r="AB141">
            <v>0</v>
          </cell>
          <cell r="AC141">
            <v>0</v>
          </cell>
          <cell r="AD141">
            <v>0</v>
          </cell>
          <cell r="AE141">
            <v>0</v>
          </cell>
        </row>
        <row r="142">
          <cell r="A142" t="str">
            <v>Total US - Vitacost.com</v>
          </cell>
          <cell r="B142" t="str">
            <v>Total US - Internet</v>
          </cell>
          <cell r="C142">
            <v>121171760.292236</v>
          </cell>
          <cell r="D142">
            <v>838311.959472656</v>
          </cell>
          <cell r="E142">
            <v>0.691837733025298</v>
          </cell>
          <cell r="F142">
            <v>120333448.332764</v>
          </cell>
          <cell r="G142">
            <v>99.3081622669747</v>
          </cell>
          <cell r="H142">
            <v>61518209.9918823</v>
          </cell>
          <cell r="I142" t="str">
            <v>Internet</v>
          </cell>
          <cell r="J142">
            <v>0</v>
          </cell>
          <cell r="K142">
            <v>0</v>
          </cell>
          <cell r="L142">
            <v>0</v>
          </cell>
          <cell r="M142">
            <v>0</v>
          </cell>
          <cell r="N142">
            <v>0</v>
          </cell>
          <cell r="O142">
            <v>0</v>
          </cell>
          <cell r="P142">
            <v>0</v>
          </cell>
          <cell r="Q142">
            <v>0</v>
          </cell>
          <cell r="R142">
            <v>1017625.85098267</v>
          </cell>
          <cell r="S142">
            <v>123364.483978271</v>
          </cell>
          <cell r="T142">
            <v>0.096812452522828</v>
          </cell>
          <cell r="U142">
            <v>894261.367004395</v>
          </cell>
          <cell r="V142">
            <v>-0.0968124525228262</v>
          </cell>
          <cell r="W142">
            <v>-1855949.2237854</v>
          </cell>
          <cell r="X142">
            <v>0</v>
          </cell>
          <cell r="Y142">
            <v>0</v>
          </cell>
          <cell r="Z142">
            <v>0</v>
          </cell>
          <cell r="AA142">
            <v>0</v>
          </cell>
          <cell r="AB142">
            <v>0</v>
          </cell>
          <cell r="AC142">
            <v>0</v>
          </cell>
          <cell r="AD142">
            <v>0</v>
          </cell>
          <cell r="AE142">
            <v>0</v>
          </cell>
        </row>
        <row r="143">
          <cell r="A143" t="str">
            <v>Total US - Vitaminshop.com</v>
          </cell>
          <cell r="B143" t="str">
            <v>Total US - Internet</v>
          </cell>
          <cell r="C143">
            <v>121171760.292236</v>
          </cell>
          <cell r="D143">
            <v>1571952.77203369</v>
          </cell>
          <cell r="E143">
            <v>1.29729300642537</v>
          </cell>
          <cell r="F143">
            <v>119599807.520203</v>
          </cell>
          <cell r="G143">
            <v>98.7027069935746</v>
          </cell>
          <cell r="H143">
            <v>61518209.9918823</v>
          </cell>
          <cell r="I143" t="str">
            <v>Internet</v>
          </cell>
          <cell r="J143">
            <v>0</v>
          </cell>
          <cell r="K143">
            <v>0</v>
          </cell>
          <cell r="L143">
            <v>0</v>
          </cell>
          <cell r="M143">
            <v>0</v>
          </cell>
          <cell r="N143">
            <v>0</v>
          </cell>
          <cell r="O143">
            <v>0</v>
          </cell>
          <cell r="P143">
            <v>0</v>
          </cell>
          <cell r="Q143">
            <v>0</v>
          </cell>
          <cell r="R143">
            <v>1017625.85098267</v>
          </cell>
          <cell r="S143">
            <v>-69831.3343505859</v>
          </cell>
          <cell r="T143">
            <v>-0.0691053401808304</v>
          </cell>
          <cell r="U143">
            <v>1087457.18533325</v>
          </cell>
          <cell r="V143">
            <v>0.0691053401808404</v>
          </cell>
          <cell r="W143">
            <v>-1855949.2237854</v>
          </cell>
          <cell r="X143">
            <v>0</v>
          </cell>
          <cell r="Y143">
            <v>0</v>
          </cell>
          <cell r="Z143">
            <v>0</v>
          </cell>
          <cell r="AA143">
            <v>0</v>
          </cell>
          <cell r="AB143">
            <v>0</v>
          </cell>
          <cell r="AC143">
            <v>0</v>
          </cell>
          <cell r="AD143">
            <v>0</v>
          </cell>
          <cell r="AE143">
            <v>0</v>
          </cell>
        </row>
        <row r="144">
          <cell r="A144" t="str">
            <v>Total US - Walgreens.com</v>
          </cell>
          <cell r="B144" t="str">
            <v>Total US - Internet</v>
          </cell>
          <cell r="C144">
            <v>121171760.292236</v>
          </cell>
          <cell r="D144">
            <v>3271487.08978271</v>
          </cell>
          <cell r="E144">
            <v>2.69987584722108</v>
          </cell>
          <cell r="F144">
            <v>117900273.202454</v>
          </cell>
          <cell r="G144">
            <v>97.3001241527789</v>
          </cell>
          <cell r="H144">
            <v>61518209.9918823</v>
          </cell>
          <cell r="I144" t="str">
            <v>Internet</v>
          </cell>
          <cell r="J144">
            <v>0</v>
          </cell>
          <cell r="K144">
            <v>0</v>
          </cell>
          <cell r="L144">
            <v>0</v>
          </cell>
          <cell r="M144">
            <v>0</v>
          </cell>
          <cell r="N144">
            <v>0</v>
          </cell>
          <cell r="O144">
            <v>6.10309658169106</v>
          </cell>
          <cell r="P144">
            <v>527075.955890605</v>
          </cell>
          <cell r="Q144">
            <v>0</v>
          </cell>
          <cell r="R144">
            <v>1017625.85098267</v>
          </cell>
          <cell r="S144">
            <v>-255671.661560059</v>
          </cell>
          <cell r="T144">
            <v>-0.235652561971769</v>
          </cell>
          <cell r="U144">
            <v>1273297.51254272</v>
          </cell>
          <cell r="V144">
            <v>0.235652561971776</v>
          </cell>
          <cell r="W144">
            <v>-1855949.2237854</v>
          </cell>
          <cell r="X144">
            <v>0</v>
          </cell>
          <cell r="Y144">
            <v>0</v>
          </cell>
          <cell r="Z144">
            <v>0</v>
          </cell>
          <cell r="AA144">
            <v>0</v>
          </cell>
          <cell r="AB144">
            <v>0</v>
          </cell>
          <cell r="AC144">
            <v>0</v>
          </cell>
          <cell r="AD144">
            <v>0.335536092543816</v>
          </cell>
          <cell r="AE144">
            <v>0</v>
          </cell>
        </row>
        <row r="145">
          <cell r="A145" t="str">
            <v>Total US - Walmart.com</v>
          </cell>
          <cell r="B145" t="str">
            <v>Total US - Internet</v>
          </cell>
          <cell r="C145">
            <v>121171760.292236</v>
          </cell>
          <cell r="D145">
            <v>12606965.0080566</v>
          </cell>
          <cell r="E145">
            <v>10.4042105005752</v>
          </cell>
          <cell r="F145">
            <v>108564795.28418</v>
          </cell>
          <cell r="G145">
            <v>89.5957894994248</v>
          </cell>
          <cell r="H145">
            <v>61518209.9918823</v>
          </cell>
          <cell r="I145" t="str">
            <v>Internet</v>
          </cell>
          <cell r="J145">
            <v>99.4521868943263</v>
          </cell>
          <cell r="K145">
            <v>337004.816711426</v>
          </cell>
          <cell r="L145">
            <v>0</v>
          </cell>
          <cell r="M145">
            <v>3300566.72251892</v>
          </cell>
          <cell r="N145">
            <v>0</v>
          </cell>
          <cell r="O145">
            <v>8.96148905162194</v>
          </cell>
          <cell r="P145">
            <v>2337191.39306184</v>
          </cell>
          <cell r="Q145">
            <v>0</v>
          </cell>
          <cell r="R145">
            <v>1017625.85098267</v>
          </cell>
          <cell r="S145">
            <v>-1315948.34698486</v>
          </cell>
          <cell r="T145">
            <v>-1.18333363162342</v>
          </cell>
          <cell r="U145">
            <v>2333574.19796753</v>
          </cell>
          <cell r="V145">
            <v>1.18333363162343</v>
          </cell>
          <cell r="W145">
            <v>-1855949.2237854</v>
          </cell>
          <cell r="X145">
            <v>0</v>
          </cell>
          <cell r="Y145">
            <v>0.286755562971095</v>
          </cell>
          <cell r="Z145">
            <v>-191896.060119629</v>
          </cell>
          <cell r="AA145">
            <v>0</v>
          </cell>
          <cell r="AB145">
            <v>-691108.431259155</v>
          </cell>
          <cell r="AC145">
            <v>0</v>
          </cell>
          <cell r="AD145">
            <v>-0.906634730045075</v>
          </cell>
          <cell r="AE145">
            <v>0</v>
          </cell>
        </row>
        <row r="146">
          <cell r="A146" t="str">
            <v>Total US - Liquor</v>
          </cell>
          <cell r="B146" t="str">
            <v>Total US - Liquor</v>
          </cell>
          <cell r="C146">
            <v>121171760.292236</v>
          </cell>
          <cell r="D146">
            <v>24268648.1451721</v>
          </cell>
          <cell r="E146">
            <v>20.0283036960445</v>
          </cell>
          <cell r="F146">
            <v>96903112.1470642</v>
          </cell>
          <cell r="G146">
            <v>79.9716963039555</v>
          </cell>
          <cell r="H146">
            <v>61518209.9918823</v>
          </cell>
          <cell r="I146" t="str">
            <v>Liquor</v>
          </cell>
          <cell r="J146">
            <v>0</v>
          </cell>
          <cell r="K146">
            <v>0</v>
          </cell>
          <cell r="L146">
            <v>0</v>
          </cell>
          <cell r="M146">
            <v>0</v>
          </cell>
          <cell r="N146">
            <v>0</v>
          </cell>
          <cell r="O146">
            <v>0.385244452976824</v>
          </cell>
          <cell r="P146">
            <v>2035519.2421169</v>
          </cell>
          <cell r="Q146">
            <v>0</v>
          </cell>
          <cell r="R146">
            <v>1017625.85098267</v>
          </cell>
          <cell r="S146">
            <v>263107.1668396</v>
          </cell>
          <cell r="T146">
            <v>0.0493482568794406</v>
          </cell>
          <cell r="U146">
            <v>754518.684143066</v>
          </cell>
          <cell r="V146">
            <v>-0.0493482568794406</v>
          </cell>
          <cell r="W146">
            <v>-1855949.2237854</v>
          </cell>
          <cell r="X146">
            <v>0</v>
          </cell>
          <cell r="Y146">
            <v>0</v>
          </cell>
          <cell r="Z146">
            <v>0</v>
          </cell>
          <cell r="AA146">
            <v>0</v>
          </cell>
          <cell r="AB146">
            <v>0</v>
          </cell>
          <cell r="AC146">
            <v>0</v>
          </cell>
          <cell r="AD146">
            <v>0</v>
          </cell>
          <cell r="AE146">
            <v>0</v>
          </cell>
        </row>
        <row r="147">
          <cell r="A147" t="str">
            <v>Total US - ABC Liquor Stores</v>
          </cell>
          <cell r="B147" t="str">
            <v>Total US - Liquor</v>
          </cell>
          <cell r="C147">
            <v>121171760.292236</v>
          </cell>
          <cell r="D147">
            <v>3477309.80792236</v>
          </cell>
          <cell r="E147">
            <v>2.86973614936017</v>
          </cell>
          <cell r="F147">
            <v>117694450.484314</v>
          </cell>
          <cell r="G147">
            <v>97.1302638506398</v>
          </cell>
          <cell r="H147">
            <v>61518209.9918823</v>
          </cell>
          <cell r="I147" t="str">
            <v>Liquor</v>
          </cell>
          <cell r="J147">
            <v>0</v>
          </cell>
          <cell r="K147">
            <v>0</v>
          </cell>
          <cell r="L147">
            <v>0</v>
          </cell>
          <cell r="M147">
            <v>0</v>
          </cell>
          <cell r="N147">
            <v>0</v>
          </cell>
          <cell r="O147">
            <v>0</v>
          </cell>
          <cell r="P147">
            <v>0</v>
          </cell>
          <cell r="Q147">
            <v>0</v>
          </cell>
          <cell r="R147">
            <v>1017625.85098267</v>
          </cell>
          <cell r="S147">
            <v>249326.309753418</v>
          </cell>
          <cell r="T147">
            <v>0.183200631310908</v>
          </cell>
          <cell r="U147">
            <v>768299.541229248</v>
          </cell>
          <cell r="V147">
            <v>-0.18320063131091</v>
          </cell>
          <cell r="W147">
            <v>-1855949.2237854</v>
          </cell>
          <cell r="X147">
            <v>0</v>
          </cell>
          <cell r="Y147">
            <v>0</v>
          </cell>
          <cell r="Z147">
            <v>0</v>
          </cell>
          <cell r="AA147">
            <v>0</v>
          </cell>
          <cell r="AB147">
            <v>0</v>
          </cell>
          <cell r="AC147">
            <v>0</v>
          </cell>
          <cell r="AD147">
            <v>0</v>
          </cell>
          <cell r="AE147">
            <v>0</v>
          </cell>
        </row>
        <row r="148">
          <cell r="A148" t="str">
            <v>Total US - Beverages &amp; More</v>
          </cell>
          <cell r="B148" t="str">
            <v>Total US - Liquor</v>
          </cell>
          <cell r="C148">
            <v>121171760.292236</v>
          </cell>
          <cell r="D148">
            <v>1459379.71051025</v>
          </cell>
          <cell r="E148">
            <v>1.20438929581496</v>
          </cell>
          <cell r="F148">
            <v>119712380.581726</v>
          </cell>
          <cell r="G148">
            <v>98.795610704185</v>
          </cell>
          <cell r="H148">
            <v>61518209.9918823</v>
          </cell>
          <cell r="I148" t="str">
            <v>Liquor</v>
          </cell>
          <cell r="J148">
            <v>0</v>
          </cell>
          <cell r="K148">
            <v>0</v>
          </cell>
          <cell r="L148">
            <v>0</v>
          </cell>
          <cell r="M148">
            <v>0</v>
          </cell>
          <cell r="N148">
            <v>0</v>
          </cell>
          <cell r="O148">
            <v>0</v>
          </cell>
          <cell r="P148">
            <v>0</v>
          </cell>
          <cell r="Q148">
            <v>0</v>
          </cell>
          <cell r="R148">
            <v>1017625.85098267</v>
          </cell>
          <cell r="S148">
            <v>-46000.1362304688</v>
          </cell>
          <cell r="T148">
            <v>-0.048484651254038</v>
          </cell>
          <cell r="U148">
            <v>1063625.98721313</v>
          </cell>
          <cell r="V148">
            <v>0.0484846512540287</v>
          </cell>
          <cell r="W148">
            <v>-1855949.2237854</v>
          </cell>
          <cell r="X148">
            <v>0</v>
          </cell>
          <cell r="Y148">
            <v>0</v>
          </cell>
          <cell r="Z148">
            <v>0</v>
          </cell>
          <cell r="AA148">
            <v>0</v>
          </cell>
          <cell r="AB148">
            <v>0</v>
          </cell>
          <cell r="AC148">
            <v>0</v>
          </cell>
          <cell r="AD148">
            <v>0</v>
          </cell>
          <cell r="AE148">
            <v>0</v>
          </cell>
        </row>
        <row r="149">
          <cell r="A149" t="str">
            <v>Total US - Total Wine &amp; More</v>
          </cell>
          <cell r="B149" t="str">
            <v>Total US - Liquor</v>
          </cell>
          <cell r="C149">
            <v>121171760.292236</v>
          </cell>
          <cell r="D149">
            <v>2861088.72412109</v>
          </cell>
          <cell r="E149">
            <v>2.36118441889501</v>
          </cell>
          <cell r="F149">
            <v>118310671.568115</v>
          </cell>
          <cell r="G149">
            <v>97.638815581105</v>
          </cell>
          <cell r="H149">
            <v>61518209.9918823</v>
          </cell>
          <cell r="I149" t="str">
            <v>Liquor</v>
          </cell>
          <cell r="J149">
            <v>0</v>
          </cell>
          <cell r="K149">
            <v>0</v>
          </cell>
          <cell r="L149">
            <v>0</v>
          </cell>
          <cell r="M149">
            <v>0</v>
          </cell>
          <cell r="N149">
            <v>0</v>
          </cell>
          <cell r="O149">
            <v>0</v>
          </cell>
          <cell r="P149">
            <v>0</v>
          </cell>
          <cell r="Q149">
            <v>0</v>
          </cell>
          <cell r="R149">
            <v>1017625.85098267</v>
          </cell>
          <cell r="S149">
            <v>414627.824859619</v>
          </cell>
          <cell r="T149">
            <v>0.325082281720853</v>
          </cell>
          <cell r="U149">
            <v>602998.026123047</v>
          </cell>
          <cell r="V149">
            <v>-0.325082281720853</v>
          </cell>
          <cell r="W149">
            <v>-1855949.2237854</v>
          </cell>
          <cell r="X149">
            <v>0</v>
          </cell>
          <cell r="Y149">
            <v>0</v>
          </cell>
          <cell r="Z149">
            <v>0</v>
          </cell>
          <cell r="AA149">
            <v>0</v>
          </cell>
          <cell r="AB149">
            <v>0</v>
          </cell>
          <cell r="AC149">
            <v>0</v>
          </cell>
          <cell r="AD149">
            <v>0</v>
          </cell>
          <cell r="AE149">
            <v>0</v>
          </cell>
        </row>
        <row r="150">
          <cell r="A150" t="str">
            <v>Total US - MassX and SupercenterX</v>
          </cell>
          <cell r="B150" t="str">
            <v>Total US - MassX and SupercenterX</v>
          </cell>
          <cell r="C150">
            <v>121171760.292236</v>
          </cell>
          <cell r="D150">
            <v>82031130.5726318</v>
          </cell>
          <cell r="E150">
            <v>67.6982247140695</v>
          </cell>
          <cell r="F150">
            <v>39140629.7196045</v>
          </cell>
          <cell r="G150">
            <v>32.3017752859305</v>
          </cell>
          <cell r="H150">
            <v>61518209.9918823</v>
          </cell>
          <cell r="I150" t="str">
            <v>MassX and SupercenterX</v>
          </cell>
          <cell r="J150">
            <v>70.3889745729236</v>
          </cell>
          <cell r="K150">
            <v>18216172.8029785</v>
          </cell>
          <cell r="L150">
            <v>251482010.831684</v>
          </cell>
          <cell r="M150">
            <v>20995680.6019049</v>
          </cell>
          <cell r="N150">
            <v>6760643.21617889</v>
          </cell>
          <cell r="O150">
            <v>26.5261620018567</v>
          </cell>
          <cell r="P150">
            <v>19448588.370524</v>
          </cell>
          <cell r="Q150">
            <v>0</v>
          </cell>
          <cell r="R150">
            <v>1017625.85098267</v>
          </cell>
          <cell r="S150">
            <v>-2490285.07290649</v>
          </cell>
          <cell r="T150">
            <v>-2.64593450990036</v>
          </cell>
          <cell r="U150">
            <v>3507910.92388916</v>
          </cell>
          <cell r="V150">
            <v>2.64593450990036</v>
          </cell>
          <cell r="W150">
            <v>-1855949.2237854</v>
          </cell>
          <cell r="X150">
            <v>0</v>
          </cell>
          <cell r="Y150">
            <v>1.99787421308633</v>
          </cell>
          <cell r="Z150">
            <v>-1815701.58129883</v>
          </cell>
          <cell r="AA150">
            <v>-46138208.7159758</v>
          </cell>
          <cell r="AB150">
            <v>-1155991.51148796</v>
          </cell>
          <cell r="AC150">
            <v>-1035146.96485233</v>
          </cell>
          <cell r="AD150">
            <v>-1.80503059275171</v>
          </cell>
          <cell r="AE150">
            <v>0</v>
          </cell>
        </row>
        <row r="151">
          <cell r="A151" t="str">
            <v>Total US - BI Mart</v>
          </cell>
          <cell r="B151" t="str">
            <v>Total US - MassX and SupercenterX</v>
          </cell>
          <cell r="C151">
            <v>121171760.292236</v>
          </cell>
          <cell r="D151">
            <v>1066229.06207275</v>
          </cell>
          <cell r="E151">
            <v>0.879931973837198</v>
          </cell>
          <cell r="F151">
            <v>120105531.230164</v>
          </cell>
          <cell r="G151">
            <v>99.1200680261628</v>
          </cell>
          <cell r="H151">
            <v>61518209.9918823</v>
          </cell>
          <cell r="I151" t="str">
            <v>MassX and SupercenterX</v>
          </cell>
          <cell r="J151">
            <v>0</v>
          </cell>
          <cell r="K151">
            <v>0</v>
          </cell>
          <cell r="L151">
            <v>0</v>
          </cell>
          <cell r="M151">
            <v>0</v>
          </cell>
          <cell r="N151">
            <v>0</v>
          </cell>
          <cell r="O151">
            <v>20.0637398384031</v>
          </cell>
          <cell r="P151">
            <v>140863.300650543</v>
          </cell>
          <cell r="Q151">
            <v>0</v>
          </cell>
          <cell r="R151">
            <v>1017625.85098267</v>
          </cell>
          <cell r="S151">
            <v>37792.8460693359</v>
          </cell>
          <cell r="T151">
            <v>0.0240011972676697</v>
          </cell>
          <cell r="U151">
            <v>979833.00491333</v>
          </cell>
          <cell r="V151">
            <v>-0.0240011972676797</v>
          </cell>
          <cell r="W151">
            <v>-1855949.2237854</v>
          </cell>
          <cell r="X151">
            <v>0</v>
          </cell>
          <cell r="Y151">
            <v>0</v>
          </cell>
          <cell r="Z151">
            <v>0</v>
          </cell>
          <cell r="AA151">
            <v>0</v>
          </cell>
          <cell r="AB151">
            <v>0</v>
          </cell>
          <cell r="AC151">
            <v>0</v>
          </cell>
          <cell r="AD151">
            <v>2.67048360961346</v>
          </cell>
          <cell r="AE151">
            <v>0</v>
          </cell>
        </row>
        <row r="152">
          <cell r="A152" t="str">
            <v>Total US - Kmart Corporate</v>
          </cell>
          <cell r="B152" t="str">
            <v>Total US - MassX and SupercenterX</v>
          </cell>
          <cell r="C152">
            <v>121171760.292236</v>
          </cell>
          <cell r="D152">
            <v>21829257.4463806</v>
          </cell>
          <cell r="E152">
            <v>18.0151360298256</v>
          </cell>
          <cell r="F152">
            <v>99342502.8458557</v>
          </cell>
          <cell r="G152">
            <v>81.9848639701744</v>
          </cell>
          <cell r="H152">
            <v>61518209.9918823</v>
          </cell>
          <cell r="I152" t="str">
            <v>MassX and SupercenterX</v>
          </cell>
          <cell r="J152">
            <v>97.3500170692515</v>
          </cell>
          <cell r="K152">
            <v>1630222.06408691</v>
          </cell>
          <cell r="L152">
            <v>5661746.00291061</v>
          </cell>
          <cell r="M152">
            <v>15717899.767067</v>
          </cell>
          <cell r="N152">
            <v>5661746.00291061</v>
          </cell>
          <cell r="O152">
            <v>12.6200997648544</v>
          </cell>
          <cell r="P152">
            <v>3510991.32283028</v>
          </cell>
          <cell r="Q152">
            <v>0</v>
          </cell>
          <cell r="R152">
            <v>1017625.85098267</v>
          </cell>
          <cell r="S152">
            <v>-3114063.35662842</v>
          </cell>
          <cell r="T152">
            <v>-2.74430010527003</v>
          </cell>
          <cell r="U152">
            <v>4131689.20761108</v>
          </cell>
          <cell r="V152">
            <v>2.74430010527001</v>
          </cell>
          <cell r="W152">
            <v>-1855949.2237854</v>
          </cell>
          <cell r="X152">
            <v>0</v>
          </cell>
          <cell r="Y152">
            <v>0.168237108369752</v>
          </cell>
          <cell r="Z152">
            <v>-155801.190551758</v>
          </cell>
          <cell r="AA152">
            <v>-325423.030396461</v>
          </cell>
          <cell r="AB152">
            <v>-1051849.9287014</v>
          </cell>
          <cell r="AC152">
            <v>-325423.030396461</v>
          </cell>
          <cell r="AD152">
            <v>-0.405792470628366</v>
          </cell>
          <cell r="AE152">
            <v>0</v>
          </cell>
        </row>
        <row r="153">
          <cell r="A153" t="str">
            <v>Total US - Roses Discount</v>
          </cell>
          <cell r="B153" t="str">
            <v>Total US - MassX and SupercenterX</v>
          </cell>
          <cell r="C153">
            <v>121171760.292236</v>
          </cell>
          <cell r="D153">
            <v>2807958.19036865</v>
          </cell>
          <cell r="E153">
            <v>2.31733712838416</v>
          </cell>
          <cell r="F153">
            <v>118363802.101868</v>
          </cell>
          <cell r="G153">
            <v>97.6826628716158</v>
          </cell>
          <cell r="H153">
            <v>61518209.9918823</v>
          </cell>
          <cell r="I153" t="str">
            <v>MassX and SupercenterX</v>
          </cell>
          <cell r="J153">
            <v>99.8410145603132</v>
          </cell>
          <cell r="K153">
            <v>97804.9966430664</v>
          </cell>
          <cell r="L153">
            <v>0</v>
          </cell>
          <cell r="M153">
            <v>680554.556854248</v>
          </cell>
          <cell r="N153">
            <v>0</v>
          </cell>
          <cell r="O153">
            <v>8.62979593609758</v>
          </cell>
          <cell r="P153">
            <v>204376.176675136</v>
          </cell>
          <cell r="Q153">
            <v>0</v>
          </cell>
          <cell r="R153">
            <v>1017625.85098267</v>
          </cell>
          <cell r="S153">
            <v>-139082.549499512</v>
          </cell>
          <cell r="T153">
            <v>-0.135379753621295</v>
          </cell>
          <cell r="U153">
            <v>1156708.40048218</v>
          </cell>
          <cell r="V153">
            <v>0.135379753621294</v>
          </cell>
          <cell r="W153">
            <v>-1855949.2237854</v>
          </cell>
          <cell r="X153">
            <v>0</v>
          </cell>
          <cell r="Y153">
            <v>0</v>
          </cell>
          <cell r="Z153">
            <v>0</v>
          </cell>
          <cell r="AA153">
            <v>0</v>
          </cell>
          <cell r="AB153">
            <v>0</v>
          </cell>
          <cell r="AC153">
            <v>0</v>
          </cell>
          <cell r="AD153">
            <v>-0.266268325958075</v>
          </cell>
          <cell r="AE153">
            <v>0</v>
          </cell>
        </row>
        <row r="154">
          <cell r="A154" t="str">
            <v>Total US - Shopko</v>
          </cell>
          <cell r="B154" t="str">
            <v>Total US - MassX and SupercenterX</v>
          </cell>
          <cell r="C154">
            <v>121171760.292236</v>
          </cell>
          <cell r="D154">
            <v>3730341.5111084</v>
          </cell>
          <cell r="E154">
            <v>3.0785568370978</v>
          </cell>
          <cell r="F154">
            <v>117441418.781128</v>
          </cell>
          <cell r="G154">
            <v>96.9214431629022</v>
          </cell>
          <cell r="H154">
            <v>61518209.9918823</v>
          </cell>
          <cell r="I154" t="str">
            <v>MassX and SupercenterX</v>
          </cell>
          <cell r="J154">
            <v>99.6939347976019</v>
          </cell>
          <cell r="K154">
            <v>188285.83392334</v>
          </cell>
          <cell r="L154">
            <v>0</v>
          </cell>
          <cell r="M154">
            <v>1334682.04094315</v>
          </cell>
          <cell r="N154">
            <v>0</v>
          </cell>
          <cell r="O154">
            <v>10.5337763680959</v>
          </cell>
          <cell r="P154">
            <v>538071.547782395</v>
          </cell>
          <cell r="Q154">
            <v>0</v>
          </cell>
          <cell r="R154">
            <v>1017625.85098267</v>
          </cell>
          <cell r="S154">
            <v>-243913.949951172</v>
          </cell>
          <cell r="T154">
            <v>-0.229074214917878</v>
          </cell>
          <cell r="U154">
            <v>1261539.80093384</v>
          </cell>
          <cell r="V154">
            <v>0.229074214917873</v>
          </cell>
          <cell r="W154">
            <v>-1855949.2237854</v>
          </cell>
          <cell r="X154">
            <v>0</v>
          </cell>
          <cell r="Y154">
            <v>-0.00710420965548053</v>
          </cell>
          <cell r="Z154">
            <v>-1178.18161010742</v>
          </cell>
          <cell r="AA154">
            <v>0</v>
          </cell>
          <cell r="AB154">
            <v>265695.411927223</v>
          </cell>
          <cell r="AC154">
            <v>0</v>
          </cell>
          <cell r="AD154">
            <v>1.01158204211623</v>
          </cell>
          <cell r="AE154">
            <v>0</v>
          </cell>
        </row>
        <row r="155">
          <cell r="A155" t="str">
            <v>Total US - Military</v>
          </cell>
          <cell r="B155" t="str">
            <v>Total US - Military</v>
          </cell>
          <cell r="C155">
            <v>121171760.292236</v>
          </cell>
          <cell r="D155">
            <v>4401775.03637695</v>
          </cell>
          <cell r="E155">
            <v>3.63267400404266</v>
          </cell>
          <cell r="F155">
            <v>116769985.255859</v>
          </cell>
          <cell r="G155">
            <v>96.3673259959573</v>
          </cell>
          <cell r="H155">
            <v>61518209.9918823</v>
          </cell>
          <cell r="I155" t="str">
            <v>Military</v>
          </cell>
          <cell r="J155">
            <v>98.2430311885179</v>
          </cell>
          <cell r="K155">
            <v>1080855.76293945</v>
          </cell>
          <cell r="L155">
            <v>3768044.61592293</v>
          </cell>
          <cell r="M155">
            <v>25203447.742321</v>
          </cell>
          <cell r="N155">
            <v>3768044.61592293</v>
          </cell>
          <cell r="O155">
            <v>42.9967906752831</v>
          </cell>
          <cell r="P155">
            <v>1374392.89129248</v>
          </cell>
          <cell r="Q155">
            <v>0</v>
          </cell>
          <cell r="R155">
            <v>1017625.85098267</v>
          </cell>
          <cell r="S155">
            <v>-167155.785644531</v>
          </cell>
          <cell r="T155">
            <v>-0.169884137854113</v>
          </cell>
          <cell r="U155">
            <v>1184781.6366272</v>
          </cell>
          <cell r="V155">
            <v>0.169884137854112</v>
          </cell>
          <cell r="W155">
            <v>-1855949.2237854</v>
          </cell>
          <cell r="X155">
            <v>0</v>
          </cell>
          <cell r="Y155">
            <v>0.207192755998804</v>
          </cell>
          <cell r="Z155">
            <v>-163915.116088867</v>
          </cell>
          <cell r="AA155">
            <v>-747217.634382248</v>
          </cell>
          <cell r="AB155">
            <v>-1451821.58564854</v>
          </cell>
          <cell r="AC155">
            <v>-747217.634382248</v>
          </cell>
          <cell r="AD155">
            <v>-4.92066059042629</v>
          </cell>
          <cell r="AE155">
            <v>0</v>
          </cell>
        </row>
        <row r="156">
          <cell r="A156" t="str">
            <v>Total US - DeCA Commissary</v>
          </cell>
          <cell r="B156" t="str">
            <v>Total US - Military</v>
          </cell>
          <cell r="C156">
            <v>121171760.292236</v>
          </cell>
          <cell r="D156">
            <v>3241989.70959473</v>
          </cell>
          <cell r="E156">
            <v>2.67553240274454</v>
          </cell>
          <cell r="F156">
            <v>117929770.582642</v>
          </cell>
          <cell r="G156">
            <v>97.3244675972555</v>
          </cell>
          <cell r="H156">
            <v>61518209.9918823</v>
          </cell>
          <cell r="I156" t="str">
            <v>Military</v>
          </cell>
          <cell r="J156">
            <v>98.4029293732189</v>
          </cell>
          <cell r="K156">
            <v>982489.261901855</v>
          </cell>
          <cell r="L156">
            <v>3160446.36055183</v>
          </cell>
          <cell r="M156">
            <v>22995505.5122375</v>
          </cell>
          <cell r="N156">
            <v>3160446.36055183</v>
          </cell>
          <cell r="O156">
            <v>52.6143570049866</v>
          </cell>
          <cell r="P156">
            <v>988645.675027707</v>
          </cell>
          <cell r="Q156">
            <v>0</v>
          </cell>
          <cell r="R156">
            <v>1017625.85098267</v>
          </cell>
          <cell r="S156">
            <v>-192988.888427734</v>
          </cell>
          <cell r="T156">
            <v>-0.183277753057386</v>
          </cell>
          <cell r="U156">
            <v>1210614.7394104</v>
          </cell>
          <cell r="V156">
            <v>0.183277753057396</v>
          </cell>
          <cell r="W156">
            <v>-1855949.2237854</v>
          </cell>
          <cell r="X156">
            <v>0</v>
          </cell>
          <cell r="Y156">
            <v>0.145742447758892</v>
          </cell>
          <cell r="Z156">
            <v>-122003.870788574</v>
          </cell>
          <cell r="AA156">
            <v>-198922.560651779</v>
          </cell>
          <cell r="AB156">
            <v>-1159176.88612366</v>
          </cell>
          <cell r="AC156">
            <v>-198922.560651779</v>
          </cell>
          <cell r="AD156">
            <v>-3.38754295034757</v>
          </cell>
          <cell r="AE156">
            <v>0</v>
          </cell>
        </row>
        <row r="157">
          <cell r="A157" t="str">
            <v>Total US - Pet</v>
          </cell>
          <cell r="B157" t="str">
            <v>Total US - Pet</v>
          </cell>
          <cell r="C157">
            <v>121171760.292236</v>
          </cell>
          <cell r="D157">
            <v>43753123.5364075</v>
          </cell>
          <cell r="E157">
            <v>36.1083501889267</v>
          </cell>
          <cell r="F157">
            <v>77418636.7558289</v>
          </cell>
          <cell r="G157">
            <v>63.8916498110733</v>
          </cell>
          <cell r="H157">
            <v>61518209.9918823</v>
          </cell>
          <cell r="I157" t="str">
            <v>Pet</v>
          </cell>
          <cell r="J157">
            <v>99.8105481731409</v>
          </cell>
          <cell r="K157">
            <v>116547.372680664</v>
          </cell>
          <cell r="L157">
            <v>0</v>
          </cell>
          <cell r="M157">
            <v>656630.931091309</v>
          </cell>
          <cell r="N157">
            <v>0</v>
          </cell>
          <cell r="O157">
            <v>0.554462341665702</v>
          </cell>
          <cell r="P157">
            <v>3912396.11957683</v>
          </cell>
          <cell r="Q157">
            <v>0</v>
          </cell>
          <cell r="R157">
            <v>1017625.85098267</v>
          </cell>
          <cell r="S157">
            <v>-1170194.5763855</v>
          </cell>
          <cell r="T157">
            <v>-1.27972498775991</v>
          </cell>
          <cell r="U157">
            <v>2187820.42736816</v>
          </cell>
          <cell r="V157">
            <v>1.27972498775991</v>
          </cell>
          <cell r="W157">
            <v>-1855949.2237854</v>
          </cell>
          <cell r="X157">
            <v>0</v>
          </cell>
          <cell r="Y157">
            <v>0.0238162996008811</v>
          </cell>
          <cell r="Z157">
            <v>-18609.5093383789</v>
          </cell>
          <cell r="AA157">
            <v>0</v>
          </cell>
          <cell r="AB157">
            <v>-482147.950637817</v>
          </cell>
          <cell r="AC157">
            <v>0</v>
          </cell>
          <cell r="AD157">
            <v>-0.0394399245567916</v>
          </cell>
          <cell r="AE157">
            <v>0</v>
          </cell>
        </row>
        <row r="158">
          <cell r="A158" t="str">
            <v>Total US - Pet Supermarket</v>
          </cell>
          <cell r="B158" t="str">
            <v>Total US - Pet</v>
          </cell>
          <cell r="C158">
            <v>121171760.292236</v>
          </cell>
          <cell r="D158">
            <v>1458707.23352051</v>
          </cell>
          <cell r="E158">
            <v>1.20383431750308</v>
          </cell>
          <cell r="F158">
            <v>119713053.058716</v>
          </cell>
          <cell r="G158">
            <v>98.7961656824969</v>
          </cell>
          <cell r="H158">
            <v>61518209.9918823</v>
          </cell>
          <cell r="I158" t="str">
            <v>Pet</v>
          </cell>
          <cell r="J158">
            <v>0</v>
          </cell>
          <cell r="K158">
            <v>0</v>
          </cell>
          <cell r="L158">
            <v>0</v>
          </cell>
          <cell r="M158">
            <v>0</v>
          </cell>
          <cell r="N158">
            <v>0</v>
          </cell>
          <cell r="O158">
            <v>0</v>
          </cell>
          <cell r="P158">
            <v>0</v>
          </cell>
          <cell r="Q158">
            <v>0</v>
          </cell>
          <cell r="R158">
            <v>1017625.85098267</v>
          </cell>
          <cell r="S158">
            <v>61548.1950683594</v>
          </cell>
          <cell r="T158">
            <v>0.0410286887585629</v>
          </cell>
          <cell r="U158">
            <v>956077.655914307</v>
          </cell>
          <cell r="V158">
            <v>-0.0410286887585727</v>
          </cell>
          <cell r="W158">
            <v>-1855949.2237854</v>
          </cell>
          <cell r="X158">
            <v>0</v>
          </cell>
          <cell r="Y158">
            <v>0</v>
          </cell>
          <cell r="Z158">
            <v>0</v>
          </cell>
          <cell r="AA158">
            <v>0</v>
          </cell>
          <cell r="AB158">
            <v>0</v>
          </cell>
          <cell r="AC158">
            <v>0</v>
          </cell>
          <cell r="AD158">
            <v>0</v>
          </cell>
          <cell r="AE158">
            <v>0</v>
          </cell>
        </row>
        <row r="159">
          <cell r="A159" t="str">
            <v>Total US - Pet Supplies Plus</v>
          </cell>
          <cell r="B159" t="str">
            <v>Total US - Pet</v>
          </cell>
          <cell r="C159">
            <v>121171760.292236</v>
          </cell>
          <cell r="D159">
            <v>3258505.65899658</v>
          </cell>
          <cell r="E159">
            <v>2.68916259955114</v>
          </cell>
          <cell r="F159">
            <v>117913254.63324</v>
          </cell>
          <cell r="G159">
            <v>97.3108374004489</v>
          </cell>
          <cell r="H159">
            <v>61518209.9918823</v>
          </cell>
          <cell r="I159" t="str">
            <v>Pet</v>
          </cell>
          <cell r="J159">
            <v>0</v>
          </cell>
          <cell r="K159">
            <v>0</v>
          </cell>
          <cell r="L159">
            <v>0</v>
          </cell>
          <cell r="M159">
            <v>0</v>
          </cell>
          <cell r="N159">
            <v>0</v>
          </cell>
          <cell r="O159">
            <v>0</v>
          </cell>
          <cell r="P159">
            <v>0</v>
          </cell>
          <cell r="Q159">
            <v>0</v>
          </cell>
          <cell r="R159">
            <v>1017625.85098267</v>
          </cell>
          <cell r="S159">
            <v>114583.911956787</v>
          </cell>
          <cell r="T159">
            <v>0.0725886783458463</v>
          </cell>
          <cell r="U159">
            <v>903041.939025879</v>
          </cell>
          <cell r="V159">
            <v>-0.0725886783458378</v>
          </cell>
          <cell r="W159">
            <v>-1855949.2237854</v>
          </cell>
          <cell r="X159">
            <v>0</v>
          </cell>
          <cell r="Y159">
            <v>0</v>
          </cell>
          <cell r="Z159">
            <v>0</v>
          </cell>
          <cell r="AA159">
            <v>0</v>
          </cell>
          <cell r="AB159">
            <v>0</v>
          </cell>
          <cell r="AC159">
            <v>0</v>
          </cell>
          <cell r="AD159">
            <v>0</v>
          </cell>
          <cell r="AE159">
            <v>0</v>
          </cell>
        </row>
        <row r="160">
          <cell r="A160" t="str">
            <v>Total US - Petco</v>
          </cell>
          <cell r="B160" t="str">
            <v>Total US - Pet</v>
          </cell>
          <cell r="C160">
            <v>121171760.292236</v>
          </cell>
          <cell r="D160">
            <v>12284535.4778748</v>
          </cell>
          <cell r="E160">
            <v>10.138117535181</v>
          </cell>
          <cell r="F160">
            <v>108887224.814362</v>
          </cell>
          <cell r="G160">
            <v>89.8618824648189</v>
          </cell>
          <cell r="H160">
            <v>61518209.9918823</v>
          </cell>
          <cell r="I160" t="str">
            <v>Pet</v>
          </cell>
          <cell r="J160">
            <v>0</v>
          </cell>
          <cell r="K160">
            <v>0</v>
          </cell>
          <cell r="L160">
            <v>0</v>
          </cell>
          <cell r="M160">
            <v>0</v>
          </cell>
          <cell r="N160">
            <v>0</v>
          </cell>
          <cell r="O160">
            <v>0</v>
          </cell>
          <cell r="P160">
            <v>0</v>
          </cell>
          <cell r="Q160">
            <v>0</v>
          </cell>
          <cell r="R160">
            <v>1017625.85098267</v>
          </cell>
          <cell r="S160">
            <v>-336320.3828125</v>
          </cell>
          <cell r="T160">
            <v>-0.365770590997338</v>
          </cell>
          <cell r="U160">
            <v>1353946.23379517</v>
          </cell>
          <cell r="V160">
            <v>0.365770590997329</v>
          </cell>
          <cell r="W160">
            <v>-1855949.2237854</v>
          </cell>
          <cell r="X160">
            <v>0</v>
          </cell>
          <cell r="Y160">
            <v>0</v>
          </cell>
          <cell r="Z160">
            <v>0</v>
          </cell>
          <cell r="AA160">
            <v>0</v>
          </cell>
          <cell r="AB160">
            <v>0</v>
          </cell>
          <cell r="AC160">
            <v>0</v>
          </cell>
          <cell r="AD160">
            <v>0</v>
          </cell>
          <cell r="AE160">
            <v>0</v>
          </cell>
        </row>
        <row r="161">
          <cell r="A161" t="str">
            <v>Total US - Petsmart</v>
          </cell>
          <cell r="B161" t="str">
            <v>Total US - Pet</v>
          </cell>
          <cell r="C161">
            <v>121171760.292236</v>
          </cell>
          <cell r="D161">
            <v>18359285.0797729</v>
          </cell>
          <cell r="E161">
            <v>15.1514552858644</v>
          </cell>
          <cell r="F161">
            <v>102812475.212463</v>
          </cell>
          <cell r="G161">
            <v>84.8485447141356</v>
          </cell>
          <cell r="H161">
            <v>61518209.9918823</v>
          </cell>
          <cell r="I161" t="str">
            <v>Pet</v>
          </cell>
          <cell r="J161">
            <v>0</v>
          </cell>
          <cell r="K161">
            <v>0</v>
          </cell>
          <cell r="L161">
            <v>0</v>
          </cell>
          <cell r="M161">
            <v>0</v>
          </cell>
          <cell r="N161">
            <v>0</v>
          </cell>
          <cell r="O161">
            <v>0</v>
          </cell>
          <cell r="P161">
            <v>0</v>
          </cell>
          <cell r="Q161">
            <v>0</v>
          </cell>
          <cell r="R161">
            <v>1017625.85098267</v>
          </cell>
          <cell r="S161">
            <v>-1225974.67776489</v>
          </cell>
          <cell r="T161">
            <v>-1.14865777192937</v>
          </cell>
          <cell r="U161">
            <v>2243600.52874756</v>
          </cell>
          <cell r="V161">
            <v>1.14865777192938</v>
          </cell>
          <cell r="W161">
            <v>-1855949.2237854</v>
          </cell>
          <cell r="X161">
            <v>0</v>
          </cell>
          <cell r="Y161">
            <v>0</v>
          </cell>
          <cell r="Z161">
            <v>0</v>
          </cell>
          <cell r="AA161">
            <v>0</v>
          </cell>
          <cell r="AB161">
            <v>0</v>
          </cell>
          <cell r="AC161">
            <v>0</v>
          </cell>
          <cell r="AD161">
            <v>0</v>
          </cell>
          <cell r="AE161">
            <v>0</v>
          </cell>
        </row>
        <row r="162">
          <cell r="A162" t="str">
            <v>Total US - Tractor Supply Company</v>
          </cell>
          <cell r="B162" t="str">
            <v>Total US - Pet</v>
          </cell>
          <cell r="C162">
            <v>121171760.292236</v>
          </cell>
          <cell r="D162">
            <v>8003919.50128174</v>
          </cell>
          <cell r="E162">
            <v>6.60543304972897</v>
          </cell>
          <cell r="F162">
            <v>113167840.790955</v>
          </cell>
          <cell r="G162">
            <v>93.394566950271</v>
          </cell>
          <cell r="H162">
            <v>61518209.9918823</v>
          </cell>
          <cell r="I162" t="str">
            <v>Pet</v>
          </cell>
          <cell r="J162">
            <v>0</v>
          </cell>
          <cell r="K162">
            <v>0</v>
          </cell>
          <cell r="L162">
            <v>0</v>
          </cell>
          <cell r="M162">
            <v>0</v>
          </cell>
          <cell r="N162">
            <v>0</v>
          </cell>
          <cell r="O162">
            <v>0</v>
          </cell>
          <cell r="P162">
            <v>0</v>
          </cell>
          <cell r="Q162">
            <v>0</v>
          </cell>
          <cell r="R162">
            <v>1017625.85098267</v>
          </cell>
          <cell r="S162">
            <v>280871.321807861</v>
          </cell>
          <cell r="T162">
            <v>0.177815543774673</v>
          </cell>
          <cell r="U162">
            <v>736754.529174805</v>
          </cell>
          <cell r="V162">
            <v>-0.177815543774685</v>
          </cell>
          <cell r="W162">
            <v>-1855949.2237854</v>
          </cell>
          <cell r="X162">
            <v>0</v>
          </cell>
          <cell r="Y162">
            <v>0</v>
          </cell>
          <cell r="Z162">
            <v>0</v>
          </cell>
          <cell r="AA162">
            <v>0</v>
          </cell>
          <cell r="AB162">
            <v>0</v>
          </cell>
          <cell r="AC162">
            <v>0</v>
          </cell>
          <cell r="AD162">
            <v>0</v>
          </cell>
          <cell r="AE162">
            <v>0</v>
          </cell>
        </row>
        <row r="163">
          <cell r="A163" t="str">
            <v>Total US - Specialty Stores</v>
          </cell>
          <cell r="B163" t="str">
            <v>Total US - Specialty Stores</v>
          </cell>
          <cell r="C163">
            <v>121171760.292236</v>
          </cell>
          <cell r="D163">
            <v>108365268.113892</v>
          </cell>
          <cell r="E163">
            <v>89.4311247542673</v>
          </cell>
          <cell r="F163">
            <v>12806492.1783447</v>
          </cell>
          <cell r="G163">
            <v>10.5688752457327</v>
          </cell>
          <cell r="H163">
            <v>61518209.9918823</v>
          </cell>
          <cell r="I163" t="str">
            <v>Specialty Stores</v>
          </cell>
          <cell r="J163">
            <v>93.1259299153081</v>
          </cell>
          <cell r="K163">
            <v>4228804.86968994</v>
          </cell>
          <cell r="L163">
            <v>9705934.69263077</v>
          </cell>
          <cell r="M163">
            <v>32021384.8136935</v>
          </cell>
          <cell r="N163">
            <v>9705934.69263077</v>
          </cell>
          <cell r="O163">
            <v>7.31757626367684</v>
          </cell>
          <cell r="P163">
            <v>11972146.6371711</v>
          </cell>
          <cell r="Q163">
            <v>0</v>
          </cell>
          <cell r="R163">
            <v>1017625.85098267</v>
          </cell>
          <cell r="S163">
            <v>-1290689.20687866</v>
          </cell>
          <cell r="T163">
            <v>-1.83161691558658</v>
          </cell>
          <cell r="U163">
            <v>2308315.05786133</v>
          </cell>
          <cell r="V163">
            <v>1.83161691558658</v>
          </cell>
          <cell r="W163">
            <v>-1855949.2237854</v>
          </cell>
          <cell r="X163">
            <v>0</v>
          </cell>
          <cell r="Y163">
            <v>0.646847733846855</v>
          </cell>
          <cell r="Z163">
            <v>-537513.563110352</v>
          </cell>
          <cell r="AA163">
            <v>-2086119.17891598</v>
          </cell>
          <cell r="AB163">
            <v>-1306891.42715931</v>
          </cell>
          <cell r="AC163">
            <v>-2086119.17891598</v>
          </cell>
          <cell r="AD163">
            <v>-0.641455963386476</v>
          </cell>
          <cell r="AE163">
            <v>0</v>
          </cell>
        </row>
        <row r="164">
          <cell r="A164" t="str">
            <v>Total US - Bed Bath &amp; Beyond</v>
          </cell>
          <cell r="B164" t="str">
            <v>Total US - Specialty Stores</v>
          </cell>
          <cell r="C164">
            <v>121171760.292236</v>
          </cell>
          <cell r="D164">
            <v>27206122.8131714</v>
          </cell>
          <cell r="E164">
            <v>22.4525275093445</v>
          </cell>
          <cell r="F164">
            <v>93965637.4790649</v>
          </cell>
          <cell r="G164">
            <v>77.5474724906555</v>
          </cell>
          <cell r="H164">
            <v>61518209.9918823</v>
          </cell>
          <cell r="I164" t="str">
            <v>Specialty Stores</v>
          </cell>
          <cell r="J164">
            <v>99.6707890670723</v>
          </cell>
          <cell r="K164">
            <v>202524.673034668</v>
          </cell>
          <cell r="L164">
            <v>0</v>
          </cell>
          <cell r="M164">
            <v>204119.599936485</v>
          </cell>
          <cell r="N164">
            <v>0</v>
          </cell>
          <cell r="O164">
            <v>1.05059917500096</v>
          </cell>
          <cell r="P164">
            <v>3159315.1795945</v>
          </cell>
          <cell r="Q164">
            <v>0</v>
          </cell>
          <cell r="R164">
            <v>1017625.85098267</v>
          </cell>
          <cell r="S164">
            <v>-1295763.21151733</v>
          </cell>
          <cell r="T164">
            <v>-1.26857551988497</v>
          </cell>
          <cell r="U164">
            <v>2313389.0625</v>
          </cell>
          <cell r="V164">
            <v>1.26857551988496</v>
          </cell>
          <cell r="W164">
            <v>-1855949.2237854</v>
          </cell>
          <cell r="X164">
            <v>0</v>
          </cell>
          <cell r="Y164">
            <v>0.106977100588679</v>
          </cell>
          <cell r="Z164">
            <v>-73905.8258056641</v>
          </cell>
          <cell r="AA164">
            <v>0</v>
          </cell>
          <cell r="AB164">
            <v>-81741.0741181374</v>
          </cell>
          <cell r="AC164">
            <v>0</v>
          </cell>
          <cell r="AD164">
            <v>-0.340569569905068</v>
          </cell>
          <cell r="AE164">
            <v>0</v>
          </cell>
        </row>
        <row r="165">
          <cell r="A165" t="str">
            <v>Total US - Big Lots</v>
          </cell>
          <cell r="B165" t="str">
            <v>Total US - Specialty Stores</v>
          </cell>
          <cell r="C165">
            <v>121171760.292236</v>
          </cell>
          <cell r="D165">
            <v>25173922.763031</v>
          </cell>
          <cell r="E165">
            <v>20.7754040234439</v>
          </cell>
          <cell r="F165">
            <v>95997837.5292053</v>
          </cell>
          <cell r="G165">
            <v>79.2245959765561</v>
          </cell>
          <cell r="H165">
            <v>61518209.9918823</v>
          </cell>
          <cell r="I165" t="str">
            <v>Specialty Stores</v>
          </cell>
          <cell r="J165">
            <v>96.6505926600777</v>
          </cell>
          <cell r="K165">
            <v>2060495.44085693</v>
          </cell>
          <cell r="L165">
            <v>6026270.18945503</v>
          </cell>
          <cell r="M165">
            <v>15598401.8228078</v>
          </cell>
          <cell r="N165">
            <v>6026270.18945503</v>
          </cell>
          <cell r="O165">
            <v>13.8396064881875</v>
          </cell>
          <cell r="P165">
            <v>2325334.7991042</v>
          </cell>
          <cell r="Q165">
            <v>0</v>
          </cell>
          <cell r="R165">
            <v>1017625.85098267</v>
          </cell>
          <cell r="S165">
            <v>-1753866.53997803</v>
          </cell>
          <cell r="T165">
            <v>-1.63563445494883</v>
          </cell>
          <cell r="U165">
            <v>2771492.39096069</v>
          </cell>
          <cell r="V165">
            <v>1.63563445494883</v>
          </cell>
          <cell r="W165">
            <v>-1855949.2237854</v>
          </cell>
          <cell r="X165">
            <v>0</v>
          </cell>
          <cell r="Y165">
            <v>0.145578043381676</v>
          </cell>
          <cell r="Z165">
            <v>-154422.160522461</v>
          </cell>
          <cell r="AA165">
            <v>-665427.471364975</v>
          </cell>
          <cell r="AB165">
            <v>-3342279.69213247</v>
          </cell>
          <cell r="AC165">
            <v>-665427.471364975</v>
          </cell>
          <cell r="AD165">
            <v>0.317144792388563</v>
          </cell>
          <cell r="AE165">
            <v>0</v>
          </cell>
        </row>
        <row r="166">
          <cell r="A166" t="str">
            <v>Total US - Cost Plus World Market</v>
          </cell>
          <cell r="B166" t="str">
            <v>Total US - Specialty Stores</v>
          </cell>
          <cell r="C166">
            <v>121171760.292236</v>
          </cell>
          <cell r="D166">
            <v>3773851.12518311</v>
          </cell>
          <cell r="E166">
            <v>3.11446422506491</v>
          </cell>
          <cell r="F166">
            <v>117397909.167053</v>
          </cell>
          <cell r="G166">
            <v>96.8855357749351</v>
          </cell>
          <cell r="H166">
            <v>61518209.9918823</v>
          </cell>
          <cell r="I166" t="str">
            <v>Specialty Stores</v>
          </cell>
          <cell r="J166">
            <v>0</v>
          </cell>
          <cell r="K166">
            <v>0</v>
          </cell>
          <cell r="L166">
            <v>0</v>
          </cell>
          <cell r="M166">
            <v>0</v>
          </cell>
          <cell r="N166">
            <v>0</v>
          </cell>
          <cell r="O166">
            <v>0</v>
          </cell>
          <cell r="P166">
            <v>0</v>
          </cell>
          <cell r="Q166">
            <v>0</v>
          </cell>
          <cell r="R166">
            <v>1017625.85098267</v>
          </cell>
          <cell r="S166">
            <v>-148233.384613037</v>
          </cell>
          <cell r="T166">
            <v>-0.149746805237797</v>
          </cell>
          <cell r="U166">
            <v>1165859.2355957</v>
          </cell>
          <cell r="V166">
            <v>0.149746805237797</v>
          </cell>
          <cell r="W166">
            <v>-1855949.2237854</v>
          </cell>
          <cell r="X166">
            <v>0</v>
          </cell>
          <cell r="Y166">
            <v>0</v>
          </cell>
          <cell r="Z166">
            <v>0</v>
          </cell>
          <cell r="AA166">
            <v>0</v>
          </cell>
          <cell r="AB166">
            <v>0</v>
          </cell>
          <cell r="AC166">
            <v>0</v>
          </cell>
          <cell r="AD166">
            <v>0</v>
          </cell>
          <cell r="AE166">
            <v>0</v>
          </cell>
        </row>
        <row r="167">
          <cell r="A167" t="str">
            <v>Total US - Kohls</v>
          </cell>
          <cell r="B167" t="str">
            <v>Total US - Specialty Stores</v>
          </cell>
          <cell r="C167">
            <v>121171760.292236</v>
          </cell>
          <cell r="D167">
            <v>34606284.1588135</v>
          </cell>
          <cell r="E167">
            <v>28.5596941691296</v>
          </cell>
          <cell r="F167">
            <v>86565476.1334229</v>
          </cell>
          <cell r="G167">
            <v>71.4403058308704</v>
          </cell>
          <cell r="H167">
            <v>61518209.9918823</v>
          </cell>
          <cell r="I167" t="str">
            <v>Specialty Stores</v>
          </cell>
          <cell r="J167">
            <v>0</v>
          </cell>
          <cell r="K167">
            <v>0</v>
          </cell>
          <cell r="L167">
            <v>0</v>
          </cell>
          <cell r="M167">
            <v>0</v>
          </cell>
          <cell r="N167">
            <v>0</v>
          </cell>
          <cell r="O167">
            <v>0</v>
          </cell>
          <cell r="P167">
            <v>0</v>
          </cell>
          <cell r="Q167">
            <v>0</v>
          </cell>
          <cell r="R167">
            <v>1017625.85098267</v>
          </cell>
          <cell r="S167">
            <v>-1779445.8371582</v>
          </cell>
          <cell r="T167">
            <v>-1.72285096772676</v>
          </cell>
          <cell r="U167">
            <v>2797071.68814087</v>
          </cell>
          <cell r="V167">
            <v>1.72285096772676</v>
          </cell>
          <cell r="W167">
            <v>-1855949.2237854</v>
          </cell>
          <cell r="X167">
            <v>0</v>
          </cell>
          <cell r="Y167">
            <v>0</v>
          </cell>
          <cell r="Z167">
            <v>0</v>
          </cell>
          <cell r="AA167">
            <v>0</v>
          </cell>
          <cell r="AB167">
            <v>0</v>
          </cell>
          <cell r="AC167">
            <v>0</v>
          </cell>
          <cell r="AD167">
            <v>0</v>
          </cell>
          <cell r="AE167">
            <v>0</v>
          </cell>
        </row>
        <row r="168">
          <cell r="A168" t="str">
            <v>Total US - Office Depot / Office Max</v>
          </cell>
          <cell r="B168" t="str">
            <v>Total US - Specialty Stores</v>
          </cell>
          <cell r="C168">
            <v>121171760.292236</v>
          </cell>
          <cell r="D168">
            <v>18011089.6371765</v>
          </cell>
          <cell r="E168">
            <v>14.8640983623067</v>
          </cell>
          <cell r="F168">
            <v>103160670.65506</v>
          </cell>
          <cell r="G168">
            <v>85.1359016376933</v>
          </cell>
          <cell r="H168">
            <v>61518209.9918823</v>
          </cell>
          <cell r="I168" t="str">
            <v>Specialty Stores</v>
          </cell>
          <cell r="J168">
            <v>0</v>
          </cell>
          <cell r="K168">
            <v>0</v>
          </cell>
          <cell r="L168">
            <v>0</v>
          </cell>
          <cell r="M168">
            <v>0</v>
          </cell>
          <cell r="N168">
            <v>0</v>
          </cell>
          <cell r="O168">
            <v>0</v>
          </cell>
          <cell r="P168">
            <v>0</v>
          </cell>
          <cell r="Q168">
            <v>0</v>
          </cell>
          <cell r="R168">
            <v>1017625.85098267</v>
          </cell>
          <cell r="S168">
            <v>-1582038.23321533</v>
          </cell>
          <cell r="T168">
            <v>-1.44256304514691</v>
          </cell>
          <cell r="U168">
            <v>2599664.084198</v>
          </cell>
          <cell r="V168">
            <v>1.44256304514691</v>
          </cell>
          <cell r="W168">
            <v>-1855949.2237854</v>
          </cell>
          <cell r="X168">
            <v>0</v>
          </cell>
          <cell r="Y168">
            <v>0</v>
          </cell>
          <cell r="Z168">
            <v>0</v>
          </cell>
          <cell r="AA168">
            <v>0</v>
          </cell>
          <cell r="AB168">
            <v>0</v>
          </cell>
          <cell r="AC168">
            <v>0</v>
          </cell>
          <cell r="AD168">
            <v>0</v>
          </cell>
          <cell r="AE168">
            <v>0</v>
          </cell>
        </row>
        <row r="169">
          <cell r="A169" t="str">
            <v>Total US - Sephora</v>
          </cell>
          <cell r="B169" t="str">
            <v>Total US - Specialty Stores</v>
          </cell>
          <cell r="C169">
            <v>121171760.292236</v>
          </cell>
          <cell r="D169">
            <v>2938468.18115234</v>
          </cell>
          <cell r="E169">
            <v>2.42504373466679</v>
          </cell>
          <cell r="F169">
            <v>118233292.111084</v>
          </cell>
          <cell r="G169">
            <v>97.5749562653332</v>
          </cell>
          <cell r="H169">
            <v>61518209.9918823</v>
          </cell>
          <cell r="I169" t="str">
            <v>Specialty Stores</v>
          </cell>
          <cell r="J169">
            <v>0</v>
          </cell>
          <cell r="K169">
            <v>0</v>
          </cell>
          <cell r="L169">
            <v>0</v>
          </cell>
          <cell r="M169">
            <v>0</v>
          </cell>
          <cell r="N169">
            <v>0</v>
          </cell>
          <cell r="O169">
            <v>0</v>
          </cell>
          <cell r="P169">
            <v>0</v>
          </cell>
          <cell r="Q169">
            <v>0</v>
          </cell>
          <cell r="R169">
            <v>1017625.85098267</v>
          </cell>
          <cell r="S169">
            <v>136427.097991943</v>
          </cell>
          <cell r="T169">
            <v>0.0930048945631374</v>
          </cell>
          <cell r="U169">
            <v>881198.752990723</v>
          </cell>
          <cell r="V169">
            <v>-0.093004894563137</v>
          </cell>
          <cell r="W169">
            <v>-1855949.2237854</v>
          </cell>
          <cell r="X169">
            <v>0</v>
          </cell>
          <cell r="Y169">
            <v>0</v>
          </cell>
          <cell r="Z169">
            <v>0</v>
          </cell>
          <cell r="AA169">
            <v>0</v>
          </cell>
          <cell r="AB169">
            <v>0</v>
          </cell>
          <cell r="AC169">
            <v>0</v>
          </cell>
          <cell r="AD169">
            <v>0</v>
          </cell>
          <cell r="AE169">
            <v>0</v>
          </cell>
        </row>
        <row r="170">
          <cell r="A170" t="str">
            <v>Total US - Staples</v>
          </cell>
          <cell r="B170" t="str">
            <v>Total US - Specialty Stores</v>
          </cell>
          <cell r="C170">
            <v>121171760.292236</v>
          </cell>
          <cell r="D170">
            <v>20363203.757019</v>
          </cell>
          <cell r="E170">
            <v>16.8052388674622</v>
          </cell>
          <cell r="F170">
            <v>100808556.535217</v>
          </cell>
          <cell r="G170">
            <v>83.1947611325378</v>
          </cell>
          <cell r="H170">
            <v>61518209.9918823</v>
          </cell>
          <cell r="I170" t="str">
            <v>Specialty Stores</v>
          </cell>
          <cell r="J170">
            <v>0</v>
          </cell>
          <cell r="K170">
            <v>0</v>
          </cell>
          <cell r="L170">
            <v>0</v>
          </cell>
          <cell r="M170">
            <v>0</v>
          </cell>
          <cell r="N170">
            <v>0</v>
          </cell>
          <cell r="O170">
            <v>0.628421409952277</v>
          </cell>
          <cell r="P170">
            <v>2045582.03107409</v>
          </cell>
          <cell r="Q170">
            <v>0</v>
          </cell>
          <cell r="R170">
            <v>1017625.85098267</v>
          </cell>
          <cell r="S170">
            <v>-2238562.02145386</v>
          </cell>
          <cell r="T170">
            <v>-2.00540454782822</v>
          </cell>
          <cell r="U170">
            <v>3256187.87243652</v>
          </cell>
          <cell r="V170">
            <v>2.00540454782822</v>
          </cell>
          <cell r="W170">
            <v>-1855949.2237854</v>
          </cell>
          <cell r="X170">
            <v>0</v>
          </cell>
          <cell r="Y170">
            <v>0</v>
          </cell>
          <cell r="Z170">
            <v>0</v>
          </cell>
          <cell r="AA170">
            <v>0</v>
          </cell>
          <cell r="AB170">
            <v>0</v>
          </cell>
          <cell r="AC170">
            <v>0</v>
          </cell>
          <cell r="AD170">
            <v>0.0129896912837438</v>
          </cell>
          <cell r="AE170">
            <v>0</v>
          </cell>
        </row>
        <row r="171">
          <cell r="A171" t="str">
            <v>Total US - Ulta Beauty</v>
          </cell>
          <cell r="B171" t="str">
            <v>Total US - Specialty Stores</v>
          </cell>
          <cell r="C171">
            <v>121171760.292236</v>
          </cell>
          <cell r="D171">
            <v>8126185.21234131</v>
          </cell>
          <cell r="E171">
            <v>6.70633585972751</v>
          </cell>
          <cell r="F171">
            <v>113045575.079895</v>
          </cell>
          <cell r="G171">
            <v>93.2936641402725</v>
          </cell>
          <cell r="H171">
            <v>61518209.9918823</v>
          </cell>
          <cell r="I171" t="str">
            <v>Specialty Stores</v>
          </cell>
          <cell r="J171">
            <v>0</v>
          </cell>
          <cell r="K171">
            <v>0</v>
          </cell>
          <cell r="L171">
            <v>0</v>
          </cell>
          <cell r="M171">
            <v>0</v>
          </cell>
          <cell r="N171">
            <v>0</v>
          </cell>
          <cell r="O171">
            <v>0</v>
          </cell>
          <cell r="P171">
            <v>0</v>
          </cell>
          <cell r="Q171">
            <v>0</v>
          </cell>
          <cell r="R171">
            <v>1017625.85098267</v>
          </cell>
          <cell r="S171">
            <v>623814.320678711</v>
          </cell>
          <cell r="T171">
            <v>0.462380188496997</v>
          </cell>
          <cell r="U171">
            <v>393811.530303955</v>
          </cell>
          <cell r="V171">
            <v>-0.462380188497008</v>
          </cell>
          <cell r="W171">
            <v>-1855949.2237854</v>
          </cell>
          <cell r="X171">
            <v>0</v>
          </cell>
          <cell r="Y171">
            <v>0</v>
          </cell>
          <cell r="Z171">
            <v>0</v>
          </cell>
          <cell r="AA171">
            <v>0</v>
          </cell>
          <cell r="AB171">
            <v>0</v>
          </cell>
          <cell r="AC171">
            <v>0</v>
          </cell>
          <cell r="AD171">
            <v>0</v>
          </cell>
          <cell r="AE171">
            <v>0</v>
          </cell>
        </row>
        <row r="172">
          <cell r="A172" t="str">
            <v>Total US - Toy</v>
          </cell>
          <cell r="B172" t="str">
            <v>Total US - Toy</v>
          </cell>
          <cell r="C172">
            <v>121171760.292236</v>
          </cell>
          <cell r="D172">
            <v>14911289.1411133</v>
          </cell>
          <cell r="E172">
            <v>12.3059111340389</v>
          </cell>
          <cell r="F172">
            <v>106260471.151123</v>
          </cell>
          <cell r="G172">
            <v>87.6940888659611</v>
          </cell>
          <cell r="H172">
            <v>61518209.9918823</v>
          </cell>
          <cell r="I172" t="str">
            <v>Toy</v>
          </cell>
          <cell r="J172">
            <v>0</v>
          </cell>
          <cell r="K172">
            <v>0</v>
          </cell>
          <cell r="L172">
            <v>0</v>
          </cell>
          <cell r="M172">
            <v>0</v>
          </cell>
          <cell r="N172">
            <v>0</v>
          </cell>
          <cell r="O172">
            <v>1.22376844912269</v>
          </cell>
          <cell r="P172">
            <v>2694336.50560184</v>
          </cell>
          <cell r="Q172">
            <v>0</v>
          </cell>
          <cell r="R172">
            <v>1017625.85098267</v>
          </cell>
          <cell r="S172">
            <v>-2277153.65472412</v>
          </cell>
          <cell r="T172">
            <v>-1.99941666493186</v>
          </cell>
          <cell r="U172">
            <v>3294779.50570679</v>
          </cell>
          <cell r="V172">
            <v>1.99941666493186</v>
          </cell>
          <cell r="W172">
            <v>-1855949.2237854</v>
          </cell>
          <cell r="X172">
            <v>0</v>
          </cell>
          <cell r="Y172">
            <v>0</v>
          </cell>
          <cell r="Z172">
            <v>0</v>
          </cell>
          <cell r="AA172">
            <v>0</v>
          </cell>
          <cell r="AB172">
            <v>0</v>
          </cell>
          <cell r="AC172">
            <v>0</v>
          </cell>
          <cell r="AD172">
            <v>0</v>
          </cell>
          <cell r="AE172">
            <v>0</v>
          </cell>
        </row>
        <row r="173">
          <cell r="A173" t="str">
            <v>Total US - Babies R US</v>
          </cell>
          <cell r="B173" t="str">
            <v>Total US - Toy</v>
          </cell>
          <cell r="C173">
            <v>121171760.292236</v>
          </cell>
          <cell r="D173">
            <v>3476085.02423096</v>
          </cell>
          <cell r="E173">
            <v>2.86872536624664</v>
          </cell>
          <cell r="F173">
            <v>117695675.268005</v>
          </cell>
          <cell r="G173">
            <v>97.1312746337534</v>
          </cell>
          <cell r="H173">
            <v>61518209.9918823</v>
          </cell>
          <cell r="I173" t="str">
            <v>Toy</v>
          </cell>
          <cell r="J173">
            <v>0</v>
          </cell>
          <cell r="K173">
            <v>0</v>
          </cell>
          <cell r="L173">
            <v>0</v>
          </cell>
          <cell r="M173">
            <v>0</v>
          </cell>
          <cell r="N173">
            <v>0</v>
          </cell>
          <cell r="O173">
            <v>0</v>
          </cell>
          <cell r="P173">
            <v>0</v>
          </cell>
          <cell r="Q173">
            <v>0</v>
          </cell>
          <cell r="R173">
            <v>1017625.85098267</v>
          </cell>
          <cell r="S173">
            <v>-905346.019958496</v>
          </cell>
          <cell r="T173">
            <v>-0.777783398985774</v>
          </cell>
          <cell r="U173">
            <v>1922971.87094116</v>
          </cell>
          <cell r="V173">
            <v>0.777783398985775</v>
          </cell>
          <cell r="W173">
            <v>-1855949.2237854</v>
          </cell>
          <cell r="X173">
            <v>0</v>
          </cell>
          <cell r="Y173">
            <v>0</v>
          </cell>
          <cell r="Z173">
            <v>0</v>
          </cell>
          <cell r="AA173">
            <v>0</v>
          </cell>
          <cell r="AB173">
            <v>0</v>
          </cell>
          <cell r="AC173">
            <v>0</v>
          </cell>
          <cell r="AD173">
            <v>0</v>
          </cell>
          <cell r="AE173">
            <v>0</v>
          </cell>
        </row>
        <row r="174">
          <cell r="A174" t="str">
            <v>Total US - Toys R Us</v>
          </cell>
          <cell r="B174" t="str">
            <v>Total US - Toy</v>
          </cell>
          <cell r="C174">
            <v>121171760.292236</v>
          </cell>
          <cell r="D174">
            <v>10953941.8511963</v>
          </cell>
          <cell r="E174">
            <v>9.04001214868719</v>
          </cell>
          <cell r="F174">
            <v>110217818.44104</v>
          </cell>
          <cell r="G174">
            <v>90.9599878513128</v>
          </cell>
          <cell r="H174">
            <v>61518209.9918823</v>
          </cell>
          <cell r="I174" t="str">
            <v>Toy</v>
          </cell>
          <cell r="J174">
            <v>0</v>
          </cell>
          <cell r="K174">
            <v>0</v>
          </cell>
          <cell r="L174">
            <v>0</v>
          </cell>
          <cell r="M174">
            <v>0</v>
          </cell>
          <cell r="N174">
            <v>0</v>
          </cell>
          <cell r="O174">
            <v>0</v>
          </cell>
          <cell r="P174">
            <v>0</v>
          </cell>
          <cell r="Q174">
            <v>0</v>
          </cell>
          <cell r="R174">
            <v>1017625.85098267</v>
          </cell>
          <cell r="S174">
            <v>-1779531.29528809</v>
          </cell>
          <cell r="T174">
            <v>-1.55760332721646</v>
          </cell>
          <cell r="U174">
            <v>2797157.14627075</v>
          </cell>
          <cell r="V174">
            <v>1.55760332721646</v>
          </cell>
          <cell r="W174">
            <v>-1855949.2237854</v>
          </cell>
          <cell r="X174">
            <v>0</v>
          </cell>
          <cell r="Y174">
            <v>0</v>
          </cell>
          <cell r="Z174">
            <v>0</v>
          </cell>
          <cell r="AA174">
            <v>0</v>
          </cell>
          <cell r="AB174">
            <v>0</v>
          </cell>
          <cell r="AC174">
            <v>0</v>
          </cell>
          <cell r="AD174">
            <v>0</v>
          </cell>
          <cell r="AE174">
            <v>0</v>
          </cell>
        </row>
        <row r="175">
          <cell r="A175" t="str">
            <v>Total US - Walmart Total</v>
          </cell>
          <cell r="B175" t="str">
            <v>Total US - Walmart Total</v>
          </cell>
          <cell r="C175">
            <v>121171760.292236</v>
          </cell>
          <cell r="D175">
            <v>100071163.895721</v>
          </cell>
          <cell r="E175">
            <v>82.5862095709219</v>
          </cell>
          <cell r="F175">
            <v>21100596.3965149</v>
          </cell>
          <cell r="G175">
            <v>17.4137904290781</v>
          </cell>
          <cell r="H175">
            <v>61518209.9918823</v>
          </cell>
          <cell r="I175" t="str">
            <v>Walmart Total</v>
          </cell>
          <cell r="J175">
            <v>57.1890528552124</v>
          </cell>
          <cell r="K175">
            <v>26336528.3640442</v>
          </cell>
          <cell r="L175">
            <v>120745820.055689</v>
          </cell>
          <cell r="M175">
            <v>425036078.986669</v>
          </cell>
          <cell r="N175">
            <v>120745820.055689</v>
          </cell>
          <cell r="O175">
            <v>54.6499843505786</v>
          </cell>
          <cell r="P175">
            <v>28720094.1393678</v>
          </cell>
          <cell r="Q175">
            <v>0</v>
          </cell>
          <cell r="R175">
            <v>1017625.85098267</v>
          </cell>
          <cell r="S175">
            <v>1310926.56665039</v>
          </cell>
          <cell r="T175">
            <v>0.391586981919474</v>
          </cell>
          <cell r="U175">
            <v>-293300.715667725</v>
          </cell>
          <cell r="V175">
            <v>-0.391586981919474</v>
          </cell>
          <cell r="W175">
            <v>-1855949.2237854</v>
          </cell>
          <cell r="X175">
            <v>0</v>
          </cell>
          <cell r="Y175">
            <v>-1.43434146186957</v>
          </cell>
          <cell r="Z175">
            <v>114452.400512695</v>
          </cell>
          <cell r="AA175">
            <v>-5716814.53856897</v>
          </cell>
          <cell r="AB175">
            <v>7687823.66275263</v>
          </cell>
          <cell r="AC175">
            <v>-5716814.53856897</v>
          </cell>
          <cell r="AD175">
            <v>1.24734213518564</v>
          </cell>
          <cell r="AE175">
            <v>0</v>
          </cell>
        </row>
        <row r="176">
          <cell r="A176" t="str">
            <v>Total US - Walmart Division 1</v>
          </cell>
          <cell r="B176" t="str">
            <v>Total US - Walmart Total</v>
          </cell>
          <cell r="C176">
            <v>121171760.292236</v>
          </cell>
          <cell r="D176">
            <v>28425390.4638367</v>
          </cell>
          <cell r="E176">
            <v>23.4587583734706</v>
          </cell>
          <cell r="F176">
            <v>92746369.8283997</v>
          </cell>
          <cell r="G176">
            <v>76.5412416265294</v>
          </cell>
          <cell r="H176">
            <v>61518209.9918823</v>
          </cell>
          <cell r="I176" t="str">
            <v>Walmart Total</v>
          </cell>
          <cell r="J176">
            <v>92.4489011973394</v>
          </cell>
          <cell r="K176">
            <v>4645300.81811523</v>
          </cell>
          <cell r="L176">
            <v>19735113.3166199</v>
          </cell>
          <cell r="M176">
            <v>51416570.8754768</v>
          </cell>
          <cell r="N176">
            <v>19735113.3166199</v>
          </cell>
          <cell r="O176">
            <v>28.4267318606563</v>
          </cell>
          <cell r="P176">
            <v>5428611.82395771</v>
          </cell>
          <cell r="Q176">
            <v>0</v>
          </cell>
          <cell r="R176">
            <v>1017625.85098267</v>
          </cell>
          <cell r="S176">
            <v>-37260.3232421875</v>
          </cell>
          <cell r="T176">
            <v>-0.229690567081665</v>
          </cell>
          <cell r="U176">
            <v>1054886.17422485</v>
          </cell>
          <cell r="V176">
            <v>0.229690567081661</v>
          </cell>
          <cell r="W176">
            <v>-1855949.2237854</v>
          </cell>
          <cell r="X176">
            <v>0</v>
          </cell>
          <cell r="Y176">
            <v>-0.256889134949489</v>
          </cell>
          <cell r="Z176">
            <v>22656.7697753906</v>
          </cell>
          <cell r="AA176">
            <v>-979161.015760422</v>
          </cell>
          <cell r="AB176">
            <v>8174340.80982876</v>
          </cell>
          <cell r="AC176">
            <v>-979161.015760422</v>
          </cell>
          <cell r="AD176">
            <v>0.950592701690329</v>
          </cell>
          <cell r="AE176">
            <v>0</v>
          </cell>
        </row>
        <row r="177">
          <cell r="A177" t="str">
            <v>Total US - Walmart Neighborhood Market</v>
          </cell>
          <cell r="B177" t="str">
            <v>Total US - Walmart Total</v>
          </cell>
          <cell r="C177">
            <v>121171760.292236</v>
          </cell>
          <cell r="D177">
            <v>13339301.6846008</v>
          </cell>
          <cell r="E177">
            <v>11.0085895033874</v>
          </cell>
          <cell r="F177">
            <v>107832458.607636</v>
          </cell>
          <cell r="G177">
            <v>88.9914104966126</v>
          </cell>
          <cell r="H177">
            <v>61518209.9918823</v>
          </cell>
          <cell r="I177" t="str">
            <v>Walmart Total</v>
          </cell>
          <cell r="J177">
            <v>96.7256429846532</v>
          </cell>
          <cell r="K177">
            <v>2014325.82458496</v>
          </cell>
          <cell r="L177">
            <v>6327212.34944916</v>
          </cell>
          <cell r="M177">
            <v>20337453.6973143</v>
          </cell>
          <cell r="N177">
            <v>6327212.34944916</v>
          </cell>
          <cell r="O177">
            <v>26.4857322675217</v>
          </cell>
          <cell r="P177">
            <v>2474619.57402083</v>
          </cell>
          <cell r="Q177">
            <v>0</v>
          </cell>
          <cell r="R177">
            <v>1017625.85098267</v>
          </cell>
          <cell r="S177">
            <v>2749527.63162231</v>
          </cell>
          <cell r="T177">
            <v>2.19509831373869</v>
          </cell>
          <cell r="U177">
            <v>-1731901.78063965</v>
          </cell>
          <cell r="V177">
            <v>-2.1950983137387</v>
          </cell>
          <cell r="W177">
            <v>-1855949.2237854</v>
          </cell>
          <cell r="X177">
            <v>0</v>
          </cell>
          <cell r="Y177">
            <v>-0.866377816029853</v>
          </cell>
          <cell r="Z177">
            <v>488289.252929688</v>
          </cell>
          <cell r="AA177">
            <v>1098239.21279144</v>
          </cell>
          <cell r="AB177">
            <v>3905044.65318394</v>
          </cell>
          <cell r="AC177">
            <v>1098239.21279144</v>
          </cell>
          <cell r="AD177">
            <v>2.65716881178699</v>
          </cell>
          <cell r="AE177">
            <v>0</v>
          </cell>
        </row>
        <row r="178">
          <cell r="A178" t="str">
            <v>Total US - Walmart Supercenter</v>
          </cell>
          <cell r="B178" t="str">
            <v>Total US - Walmart Total</v>
          </cell>
          <cell r="C178">
            <v>121171760.292236</v>
          </cell>
          <cell r="D178">
            <v>88065615.8851013</v>
          </cell>
          <cell r="E178">
            <v>72.6783333614275</v>
          </cell>
          <cell r="F178">
            <v>33106144.407135</v>
          </cell>
          <cell r="G178">
            <v>27.3216666385725</v>
          </cell>
          <cell r="H178">
            <v>61518209.9918823</v>
          </cell>
          <cell r="I178" t="str">
            <v>Walmart Total</v>
          </cell>
          <cell r="J178">
            <v>63.9649708245446</v>
          </cell>
          <cell r="K178">
            <v>22168104.9187927</v>
          </cell>
          <cell r="L178">
            <v>94683494.4788456</v>
          </cell>
          <cell r="M178">
            <v>353282054.363447</v>
          </cell>
          <cell r="N178">
            <v>94683494.4788456</v>
          </cell>
          <cell r="O178">
            <v>53.5787138626071</v>
          </cell>
          <cell r="P178">
            <v>25190841.5506645</v>
          </cell>
          <cell r="Q178">
            <v>0</v>
          </cell>
          <cell r="R178">
            <v>1017625.85098267</v>
          </cell>
          <cell r="S178">
            <v>710625.85458374</v>
          </cell>
          <cell r="T178">
            <v>-0.024108744905206</v>
          </cell>
          <cell r="U178">
            <v>306999.996398926</v>
          </cell>
          <cell r="V178">
            <v>0.024108744905206</v>
          </cell>
          <cell r="W178">
            <v>-1855949.2237854</v>
          </cell>
          <cell r="X178">
            <v>0</v>
          </cell>
          <cell r="Y178">
            <v>-0.841678583930843</v>
          </cell>
          <cell r="Z178">
            <v>-135385.118408203</v>
          </cell>
          <cell r="AA178">
            <v>-5835892.5997529</v>
          </cell>
          <cell r="AB178">
            <v>-4391561.89231443</v>
          </cell>
          <cell r="AC178">
            <v>-5835892.5997529</v>
          </cell>
          <cell r="AD178">
            <v>0.827684187069856</v>
          </cell>
          <cell r="AE178">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comments" Target="../comments1.xml" /><Relationship Id="rId2" Type="http://schemas.openxmlformats.org/officeDocument/2006/relationships/vmlDrawing" Target="../drawings/vmlDrawing1.vml" /><Relationship Id="rId3" Type="http://schemas.openxmlformats.org/officeDocument/2006/relationships/printerSettings" Target="../printerSettings/printerSettings1.bin" /></Relationships>
</file>

<file path=xl/worksheets/_rels/sheet2.xml.rels><?xml version="1.0" encoding="utf-8" standalone="yes"?><Relationships xmlns="http://schemas.openxmlformats.org/package/2006/relationships"><Relationship Id="rId1" Type="http://schemas.openxmlformats.org/officeDocument/2006/relationships/comments" Target="../comments2.xml" /><Relationship Id="rId2" Type="http://schemas.openxmlformats.org/officeDocument/2006/relationships/vmlDrawing" Target="../drawings/vmlDrawing2.vml" /><Relationship Id="rId3"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EK688"/>
  <sheetViews>
    <sheetView showGridLines="0" tabSelected="1" zoomScale="85" zoomScaleNormal="85" workbookViewId="0" topLeftCell="A1"/>
  </sheetViews>
  <sheetFormatPr defaultColWidth="9.14285714285714" defaultRowHeight="14.25"/>
  <cols>
    <col min="1" max="1" width="2.42857142857143" style="19" customWidth="1"/>
    <col min="2" max="2" width="1" style="19" customWidth="1"/>
    <col min="3" max="3" width="1.57142857142857" style="19" customWidth="1"/>
    <col min="4" max="4" width="7.71428571428571" style="19" customWidth="1"/>
    <col min="5" max="5" width="2.28571428571429" style="19" customWidth="1"/>
    <col min="6" max="6" width="9.57142857142857" style="19" customWidth="1"/>
    <col min="7" max="7" width="0.857142857142857" style="19" customWidth="1"/>
    <col min="8" max="8" width="7.71428571428571" style="19" customWidth="1"/>
    <col min="9" max="9" width="2.28571428571429" style="19" customWidth="1"/>
    <col min="10" max="10" width="9.57142857142857" style="19" customWidth="1"/>
    <col min="11" max="11" width="0.857142857142857" style="19" customWidth="1"/>
    <col min="12" max="12" width="7.71428571428571" style="19" customWidth="1"/>
    <col min="13" max="13" width="2.28571428571429" style="19" customWidth="1"/>
    <col min="14" max="14" width="9.57142857142857" style="19" customWidth="1"/>
    <col min="15" max="15" width="0.857142857142857" style="19" customWidth="1"/>
    <col min="16" max="16" width="7.71428571428571" style="19" customWidth="1"/>
    <col min="17" max="17" width="2.28571428571429" style="19" customWidth="1"/>
    <col min="18" max="18" width="9.57142857142857" style="19" customWidth="1"/>
    <col min="19" max="19" width="0.857142857142857" style="19" customWidth="1"/>
    <col min="20" max="20" width="7.71428571428571" style="19" customWidth="1"/>
    <col min="21" max="21" width="2.28571428571429" style="19" customWidth="1"/>
    <col min="22" max="22" width="9.57142857142857" style="19" customWidth="1"/>
    <col min="23" max="23" width="0.857142857142857" style="19" customWidth="1"/>
    <col min="24" max="24" width="7.71428571428571" style="19" customWidth="1"/>
    <col min="25" max="25" width="2.28571428571429" style="19" customWidth="1"/>
    <col min="26" max="26" width="9.57142857142857" style="19" customWidth="1"/>
    <col min="27" max="27" width="0.857142857142857" style="19" customWidth="1"/>
    <col min="28" max="28" width="7.71428571428571" style="19" customWidth="1"/>
    <col min="29" max="29" width="2.28571428571429" style="19" customWidth="1"/>
    <col min="30" max="30" width="9.57142857142857" style="19" customWidth="1"/>
    <col min="31" max="31" width="0.857142857142857" style="19" customWidth="1"/>
    <col min="32" max="32" width="7.71428571428571" style="19" customWidth="1"/>
    <col min="33" max="33" width="2.28571428571429" style="19" customWidth="1"/>
    <col min="34" max="34" width="9.57142857142857" style="19" customWidth="1"/>
    <col min="35" max="35" width="1.71428571428571" style="19" customWidth="1"/>
    <col min="36" max="36" width="0.285714285714286" style="19" customWidth="1"/>
    <col min="37" max="37" width="2.71428571428571" style="19" customWidth="1"/>
    <col min="38" max="38" width="28.7142857142857" style="19" customWidth="1"/>
    <col min="39" max="77" width="9.14285714285714" style="19" customWidth="1"/>
    <col min="78" max="78" width="14.1428571428571" style="19" customWidth="1"/>
    <col min="79" max="79" width="14" style="19" customWidth="1"/>
    <col min="80" max="80" width="19" style="19" customWidth="1"/>
    <col min="81" max="81" width="14.8571428571429" style="19" customWidth="1"/>
    <col min="82" max="82" width="12.7142857142857" style="19" customWidth="1"/>
    <col min="83" max="83" width="18.7142857142857" style="19" customWidth="1"/>
    <col min="84" max="84" width="14.1428571428571" style="19" customWidth="1"/>
    <col min="85" max="85" width="18.7142857142857" style="19" customWidth="1"/>
    <col min="86" max="86" width="12.7142857142857" style="19" customWidth="1"/>
    <col min="87" max="87" width="18.7142857142857" style="19" customWidth="1"/>
    <col min="88" max="88" width="12.7142857142857" style="19" customWidth="1"/>
    <col min="89" max="89" width="18.7142857142857" style="19" customWidth="1"/>
    <col min="90" max="90" width="20.2857142857143" style="19" customWidth="1"/>
    <col min="91" max="91" width="16.2857142857143" style="19" customWidth="1"/>
    <col min="92" max="92" width="14.1428571428571" style="19" customWidth="1"/>
    <col min="93" max="93" width="21.1428571428571" style="19" customWidth="1"/>
    <col min="94" max="94" width="14.1428571428571" style="19" customWidth="1"/>
    <col min="95" max="95" width="21.1428571428571" style="19" customWidth="1"/>
    <col min="96" max="96" width="12.7142857142857" style="19" customWidth="1"/>
    <col min="97" max="97" width="21.1428571428571" style="19" customWidth="1"/>
    <col min="98" max="98" width="17.4285714285714" style="19" customWidth="1"/>
    <col min="99" max="99" width="21.1428571428571" style="19" customWidth="1"/>
    <col min="100" max="100" width="23.7142857142857" style="19" customWidth="1"/>
    <col min="101" max="101" width="17.2857142857143" style="19" customWidth="1"/>
    <col min="102" max="102" width="52.2857142857143" style="19" customWidth="1"/>
    <col min="103" max="103" width="29.8571428571429" style="19" customWidth="1"/>
    <col min="104" max="104" width="13.5714285714286" style="19" customWidth="1"/>
    <col min="105" max="105" width="18.1428571428571" style="19" customWidth="1"/>
    <col min="106" max="106" width="16.2857142857143" style="19" customWidth="1"/>
    <col min="107" max="107" width="16.8571428571429" style="19" customWidth="1"/>
    <col min="108" max="108" width="19.1428571428571" style="19" customWidth="1"/>
    <col min="109" max="109" width="38.2857142857143" style="19" customWidth="1"/>
    <col min="110" max="110" width="28.8571428571429" style="19" customWidth="1"/>
    <col min="111" max="111" width="31.4285714285714" style="19" customWidth="1"/>
    <col min="112" max="112" width="28.5714285714286" style="19" customWidth="1"/>
    <col min="113" max="113" width="37.1428571428571" style="19" customWidth="1"/>
    <col min="114" max="114" width="39.1428571428571" style="19" customWidth="1"/>
    <col min="115" max="115" width="43.4285714285714" style="19" customWidth="1"/>
    <col min="116" max="116" width="45.4285714285714" style="19" customWidth="1"/>
    <col min="117" max="117" width="48" style="19" customWidth="1"/>
    <col min="118" max="118" width="29.8571428571429" style="19" customWidth="1"/>
    <col min="119" max="119" width="13.5714285714286" style="19" customWidth="1"/>
    <col min="120" max="120" width="18.1428571428571" style="19" customWidth="1"/>
    <col min="121" max="121" width="16.2857142857143" style="19" customWidth="1"/>
    <col min="122" max="122" width="16.8571428571429" style="19" customWidth="1"/>
    <col min="123" max="123" width="19.1428571428571" style="19" customWidth="1"/>
    <col min="124" max="124" width="38.2857142857143" style="19" customWidth="1"/>
    <col min="125" max="125" width="28.8571428571429" style="19" customWidth="1"/>
    <col min="126" max="126" width="31.4285714285714" style="19" customWidth="1"/>
    <col min="127" max="127" width="28.5714285714286" style="19" customWidth="1"/>
    <col min="128" max="128" width="37.1428571428571" style="19" customWidth="1"/>
    <col min="129" max="129" width="39.1428571428571" style="19" customWidth="1"/>
    <col min="130" max="130" width="43.4285714285714" style="19" customWidth="1"/>
    <col min="131" max="131" width="45.4285714285714" style="19" customWidth="1"/>
    <col min="132" max="132" width="48" style="19" customWidth="1"/>
    <col min="133" max="133" width="39.1428571428571" style="19" customWidth="1"/>
    <col min="134" max="134" width="43.4285714285714" style="19" customWidth="1"/>
    <col min="135" max="135" width="39.1428571428571" style="19" customWidth="1"/>
    <col min="136" max="136" width="43.4285714285714" style="19" customWidth="1"/>
    <col min="137" max="138" width="12.8571428571429" style="19" customWidth="1"/>
    <col min="139" max="139" width="39.1428571428571" style="19" customWidth="1"/>
    <col min="140" max="140" width="32.5714285714286" style="19" customWidth="1"/>
    <col min="141" max="141" width="13.7142857142857" style="19" customWidth="1"/>
    <col min="142" max="16384" width="9.14285714285714" style="19" customWidth="1"/>
  </cols>
  <sheetData>
    <row r="1" spans="1:138" ht="18" customHeight="1">
      <c r="A1" s="1"/>
      <c s="1"/>
      <c s="1" t="s">
        <v>0</v>
      </c>
      <c s="1"/>
      <c s="1"/>
      <c s="1"/>
      <c s="1"/>
      <c s="1"/>
      <c s="1"/>
      <c s="1"/>
      <c s="1"/>
      <c s="1"/>
      <c s="1"/>
      <c r="T1" s="141"/>
      <c s="142"/>
      <c s="142"/>
      <c s="142"/>
      <c s="142"/>
      <c s="143"/>
      <c s="15" t="s">
        <v>53</v>
      </c>
      <c s="147" t="s">
        <v>25</v>
      </c>
      <c s="148"/>
      <c s="148"/>
      <c s="148"/>
      <c s="148"/>
      <c s="148"/>
      <c s="148"/>
      <c s="148"/>
      <c s="148"/>
      <c s="149"/>
      <c r="AL1" s="15" t="s">
        <v>409</v>
      </c>
      <c r="CA1" s="20" t="s">
        <v>39</v>
      </c>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 spans="1:138" ht="18" customHeight="1">
      <c r="A2" s="1"/>
      <c s="1"/>
      <c s="1"/>
      <c s="1"/>
      <c s="1"/>
      <c s="1"/>
      <c s="1"/>
      <c s="1"/>
      <c s="1"/>
      <c s="1"/>
      <c s="1"/>
      <c s="1"/>
      <c s="1"/>
      <c r="T2" s="144" t="s">
        <v>27</v>
      </c>
      <c s="145"/>
      <c s="145"/>
      <c s="145"/>
      <c s="145"/>
      <c s="146"/>
      <c s="15" t="s">
        <v>53</v>
      </c>
      <c s="147" t="s">
        <v>28</v>
      </c>
      <c s="148"/>
      <c s="148"/>
      <c s="148"/>
      <c s="148"/>
      <c s="148"/>
      <c s="148"/>
      <c s="148"/>
      <c s="148"/>
      <c s="149"/>
      <c r="AL2" s="166" t="s">
        <v>410</v>
      </c>
      <c r="CA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 spans="1:138" ht="18">
      <c r="A3" s="1"/>
      <c s="82" t="s">
        <v>391</v>
      </c>
      <c s="82"/>
      <c s="1"/>
      <c s="1"/>
      <c s="1"/>
      <c s="1"/>
      <c s="1"/>
      <c s="1"/>
      <c s="1"/>
      <c s="1"/>
      <c s="1"/>
      <c s="1"/>
      <c s="1"/>
      <c s="1"/>
      <c r="T3" s="156" t="s">
        <v>26</v>
      </c>
      <c s="157"/>
      <c s="157"/>
      <c s="157"/>
      <c s="157"/>
      <c s="158"/>
      <c s="15" t="s">
        <v>53</v>
      </c>
      <c s="147" t="s">
        <v>390</v>
      </c>
      <c s="148"/>
      <c s="148"/>
      <c s="148"/>
      <c s="148"/>
      <c s="148"/>
      <c s="148"/>
      <c s="148"/>
      <c s="148"/>
      <c s="149"/>
      <c r="AL3" s="167"/>
      <c r="CA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 spans="1:138" ht="15">
      <c r="A4" s="21"/>
      <c s="21"/>
      <c s="21"/>
      <c s="21"/>
      <c s="21"/>
      <c s="21"/>
      <c s="21"/>
      <c s="21"/>
      <c s="21"/>
      <c s="21"/>
      <c s="21"/>
      <c s="21"/>
      <c s="21"/>
      <c s="21"/>
      <c s="21"/>
      <c s="21"/>
      <c s="21"/>
      <c s="21"/>
      <c s="21"/>
      <c s="162"/>
      <c s="163"/>
      <c s="163"/>
      <c s="163"/>
      <c s="163"/>
      <c s="164"/>
      <c s="15" t="s">
        <v>53</v>
      </c>
      <c s="147" t="s">
        <v>412</v>
      </c>
      <c s="148"/>
      <c s="148"/>
      <c s="148"/>
      <c s="148"/>
      <c s="148"/>
      <c s="148"/>
      <c s="148"/>
      <c s="148"/>
      <c s="149"/>
      <c r="AL4" s="168"/>
      <c r="CA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 spans="1:138" s="43" customFormat="1" ht="1.5" customHeight="1">
      <c r="A5" s="40"/>
      <c s="40"/>
      <c s="40"/>
      <c s="40"/>
      <c s="40"/>
      <c s="40"/>
      <c s="40"/>
      <c s="40"/>
      <c s="40"/>
      <c s="40"/>
      <c s="40"/>
      <c s="40"/>
      <c s="40"/>
      <c s="40"/>
      <c s="40"/>
      <c s="40"/>
      <c s="40"/>
      <c s="40"/>
      <c s="40"/>
      <c s="94"/>
      <c s="94"/>
      <c s="94"/>
      <c s="94"/>
      <c s="94"/>
      <c s="94"/>
      <c s="95"/>
      <c s="96"/>
      <c s="96"/>
      <c s="96"/>
      <c s="96"/>
      <c s="96"/>
      <c s="96"/>
      <c s="96"/>
      <c s="96"/>
      <c s="96"/>
      <c s="96"/>
      <c r="AL5" s="97"/>
      <c r="CA5"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row>
    <row r="6" spans="1:138" ht="1.5" customHeight="1">
      <c r="A6" s="21"/>
      <c s="22"/>
      <c s="23"/>
      <c s="23"/>
      <c s="23"/>
      <c s="23"/>
      <c s="23"/>
      <c s="23"/>
      <c s="23"/>
      <c s="23"/>
      <c s="23"/>
      <c s="23"/>
      <c s="23"/>
      <c s="23"/>
      <c s="23"/>
      <c s="23"/>
      <c s="23"/>
      <c s="23"/>
      <c s="23"/>
      <c s="23"/>
      <c s="23"/>
      <c s="23"/>
      <c s="23"/>
      <c s="23"/>
      <c s="23"/>
      <c s="23"/>
      <c s="23"/>
      <c s="23"/>
      <c s="23"/>
      <c s="23"/>
      <c s="23"/>
      <c s="23"/>
      <c s="23"/>
      <c s="23"/>
      <c s="23"/>
      <c s="24"/>
      <c r="CA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 spans="1:138" ht="1.5" customHeight="1">
      <c r="A7" s="21"/>
      <c s="25"/>
      <c s="21"/>
      <c s="21"/>
      <c s="21"/>
      <c s="21"/>
      <c s="21"/>
      <c s="21"/>
      <c s="21"/>
      <c s="21"/>
      <c s="21"/>
      <c s="21"/>
      <c s="21"/>
      <c s="21"/>
      <c s="21"/>
      <c s="21"/>
      <c s="21"/>
      <c s="21"/>
      <c s="21"/>
      <c s="21"/>
      <c s="21"/>
      <c s="21"/>
      <c s="21"/>
      <c s="21"/>
      <c s="21"/>
      <c s="21"/>
      <c s="21"/>
      <c s="21"/>
      <c s="21"/>
      <c s="21"/>
      <c s="21"/>
      <c s="21"/>
      <c s="21"/>
      <c s="21"/>
      <c s="21"/>
      <c s="26"/>
      <c r="CA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 spans="1:138" ht="12" customHeight="1">
      <c r="A8" s="21"/>
      <c s="25"/>
      <c s="21"/>
      <c s="83" t="str">
        <f>"Geography : "&amp;RIGHT(CX102,LEN(CX102)-14)</f>
        <v>Geography : Total US - Target Corporate</v>
      </c>
      <c r="F8" s="21"/>
      <c s="21"/>
      <c s="21"/>
      <c s="21"/>
      <c s="21"/>
      <c s="21"/>
      <c s="21"/>
      <c s="21"/>
      <c s="21"/>
      <c s="21"/>
      <c s="21"/>
      <c s="21"/>
      <c s="21"/>
      <c s="27"/>
      <c s="27"/>
      <c s="28"/>
      <c s="153" t="str">
        <f>TEXT(CZ111/1000000,"#,##0.0")&amp;"MM HHs"</f>
        <v>121.2MM HHs</v>
      </c>
      <c s="154"/>
      <c s="154"/>
      <c s="154"/>
      <c s="154"/>
      <c s="155"/>
      <c s="27"/>
      <c s="27"/>
      <c s="27"/>
      <c s="21"/>
      <c s="21"/>
      <c s="21"/>
      <c s="21"/>
      <c s="21"/>
      <c s="26"/>
      <c r="AL8" s="91" t="s">
        <v>4</v>
      </c>
      <c r="CA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 spans="1:138" ht="12" customHeight="1">
      <c r="A9" s="21"/>
      <c s="25"/>
      <c s="21"/>
      <c s="83" t="str">
        <f>CX103</f>
        <v>Time : Latest 52 Weeks Ending Jan-24-2016</v>
      </c>
      <c r="F9" s="21"/>
      <c s="21"/>
      <c s="21"/>
      <c s="21"/>
      <c s="21"/>
      <c s="21"/>
      <c s="21"/>
      <c s="21"/>
      <c s="21"/>
      <c s="21"/>
      <c s="21"/>
      <c s="21"/>
      <c s="29"/>
      <c s="21"/>
      <c s="21"/>
      <c s="21"/>
      <c s="159" t="str">
        <f>"in "&amp;IF(ISERROR(LEFT(CX112,FIND(" - ",CX112)))=TRUE,CX112,LEFT(CX112,FIND(" - ",CX112)))</f>
        <v>in Total US </v>
      </c>
      <c s="160"/>
      <c s="160"/>
      <c s="160"/>
      <c s="160"/>
      <c s="161"/>
      <c s="21"/>
      <c s="21"/>
      <c s="21"/>
      <c s="30"/>
      <c s="21"/>
      <c s="21"/>
      <c r="AI9" s="21"/>
      <c s="26"/>
      <c r="AL9" s="91" t="s">
        <v>4</v>
      </c>
      <c r="CA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 spans="1:138" ht="12" customHeight="1">
      <c r="A10" s="21"/>
      <c s="25"/>
      <c s="21"/>
      <c s="83" t="str">
        <f>CX104</f>
        <v>Product : AISLE-LAUNDRY</v>
      </c>
      <c r="F10" s="21"/>
      <c s="21"/>
      <c s="21"/>
      <c s="21"/>
      <c s="21"/>
      <c s="21"/>
      <c s="21"/>
      <c s="21"/>
      <c s="21"/>
      <c s="21"/>
      <c s="21"/>
      <c s="21"/>
      <c s="29"/>
      <c s="21"/>
      <c s="10"/>
      <c s="21"/>
      <c r="Y10" s="21"/>
      <c r="AB10" s="21"/>
      <c s="21"/>
      <c s="21"/>
      <c s="11"/>
      <c s="10"/>
      <c s="21"/>
      <c r="AI10" s="21"/>
      <c s="26"/>
      <c r="AL10" s="91" t="s">
        <v>4</v>
      </c>
      <c r="CA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1" spans="1:138" ht="12" customHeight="1">
      <c r="A11" s="21"/>
      <c s="25"/>
      <c s="21"/>
      <c s="83" t="str">
        <f>IF(CX106&lt;&gt;"",CX106,"")</f>
        <v>HH Demo Summary : All HH Income Per Capita</v>
      </c>
      <c r="F11" s="21"/>
      <c s="21"/>
      <c s="21"/>
      <c s="21"/>
      <c s="21"/>
      <c s="21"/>
      <c s="21"/>
      <c s="21"/>
      <c s="27"/>
      <c s="33"/>
      <c s="150" t="str">
        <f>TEXT(DB111/100,"0.0%")&amp;IF(AND(Z2&lt;&gt;"",DQ111&lt;&gt;"")," ("&amp;IF((DQ111/100)&gt;0,"+","")&amp;TEXT(DQ111,"0.0")&amp;"pts)","")&amp;IF(Z1&lt;&gt;""," ("&amp;TEXT(DA111/1000000,"#,##0.0")&amp;"MM HHs)","")</f>
        <v>55.4% (-1.5pts) (67.1MM HHs)</v>
      </c>
      <c s="151"/>
      <c s="151"/>
      <c s="151"/>
      <c s="151"/>
      <c s="152"/>
      <c s="33"/>
      <c s="27"/>
      <c r="Y11" s="21"/>
      <c r="AB11" s="122" t="str">
        <f>TEXT(DD111/100,"0.0%")&amp;IF(AND(Z2&lt;&gt;"",DS111&lt;&gt;"")," ("&amp;IF((DS111/100)&gt;0,"+","")&amp;TEXT(DS111,"0.0")&amp;"pts)","")&amp;IF(Z1&lt;&gt;""," ("&amp;TEXT(DC111/1000000,"#,##0.0")&amp;"MM HHs)","")</f>
        <v>44.6% (+1.5pts) (54.0MM HHs)</v>
      </c>
      <c s="123"/>
      <c s="123"/>
      <c s="123"/>
      <c s="123"/>
      <c s="124"/>
      <c r="AI11" s="21"/>
      <c s="26"/>
      <c r="AL11" s="91" t="s">
        <v>4</v>
      </c>
      <c r="CA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2" spans="1:138" ht="12" customHeight="1">
      <c r="A12" s="21"/>
      <c s="25"/>
      <c s="21"/>
      <c s="83" t="str">
        <f>IF(CX107&lt;&gt;"",CX107,"")</f>
        <v>Trip Mission : All Trip Missions</v>
      </c>
      <c s="21"/>
      <c s="21"/>
      <c s="21"/>
      <c s="21"/>
      <c s="21"/>
      <c s="21"/>
      <c s="21"/>
      <c s="21"/>
      <c s="32"/>
      <c s="80"/>
      <c s="21"/>
      <c s="175" t="str">
        <f>"Shop in "&amp;CV111</f>
        <v>Shop in Target Corporate</v>
      </c>
      <c s="176"/>
      <c s="176"/>
      <c s="176"/>
      <c s="176"/>
      <c s="177"/>
      <c s="21"/>
      <c s="21"/>
      <c s="30"/>
      <c s="21"/>
      <c s="21"/>
      <c r="AB12" s="178" t="str">
        <f>"Do Not Shop in "&amp;CV111</f>
        <v>Do Not Shop in Target Corporate</v>
      </c>
      <c s="179"/>
      <c s="179"/>
      <c s="179"/>
      <c s="179"/>
      <c s="180"/>
      <c r="AI12" s="21"/>
      <c s="26"/>
      <c r="AL12" s="91" t="s">
        <v>4</v>
      </c>
      <c r="CA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3" spans="1:138" s="37" customFormat="1" ht="12" customHeight="1">
      <c r="A13" s="21"/>
      <c s="25"/>
      <c s="21"/>
      <c s="83" t="str">
        <f>IF(CX108&lt;&gt;"",CX108,"")</f>
        <v>Parent Company : Total (Unfiltered)</v>
      </c>
      <c s="21"/>
      <c s="21"/>
      <c s="21"/>
      <c s="21"/>
      <c s="21"/>
      <c s="21"/>
      <c s="21"/>
      <c s="21"/>
      <c s="59"/>
      <c s="21"/>
      <c s="21"/>
      <c s="138"/>
      <c s="139"/>
      <c s="139"/>
      <c s="139"/>
      <c s="139"/>
      <c s="140"/>
      <c s="21"/>
      <c s="21"/>
      <c s="59"/>
      <c s="21"/>
      <c s="21"/>
      <c r="AB13" s="125"/>
      <c s="126"/>
      <c s="126"/>
      <c s="126"/>
      <c s="126"/>
      <c s="127"/>
      <c r="AI13" s="21"/>
      <c s="26"/>
      <c r="AL13" s="91" t="s">
        <v>4</v>
      </c>
      <c r="CA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14" spans="1:138" ht="12" customHeight="1">
      <c r="A14" s="21"/>
      <c s="25"/>
      <c s="21"/>
      <c s="21"/>
      <c s="21"/>
      <c s="21"/>
      <c s="21"/>
      <c s="21"/>
      <c s="21"/>
      <c s="21"/>
      <c s="21"/>
      <c s="21"/>
      <c s="11"/>
      <c s="81"/>
      <c s="21"/>
      <c s="2"/>
      <c s="21"/>
      <c s="21"/>
      <c r="U14" s="21"/>
      <c s="21"/>
      <c s="21"/>
      <c s="11"/>
      <c s="21"/>
      <c r="AB14" s="21"/>
      <c r="AI14" s="21"/>
      <c s="26"/>
      <c r="AL14" s="91" t="s">
        <v>4</v>
      </c>
      <c r="CA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5" spans="1:138" ht="12" customHeight="1">
      <c r="A15" s="21"/>
      <c s="25"/>
      <c s="21"/>
      <c r="J15" s="116" t="str">
        <f>TEXT(DE111/DA111,"0.0%")&amp;IF(AND(Z2&lt;&gt;"",DA111&lt;&gt;"",DE111&lt;&gt;"",DP111&lt;&gt;"",DT111&lt;&gt;"")," ("&amp;IF((DE111/DA111-(DE111-DT111)/(DA111-DP111))&gt;0,"+","")&amp;TEXT((DE111/DA111-(DE111-DT111)/(DA111-DP111))*100,"0.0")&amp;"pts)","")&amp;IF(Z1&lt;&gt;""," ("&amp;TEXT(DE111/1000000,"#,##0.0")&amp;"MM HHs)","")</f>
        <v>91.6% (-1.0pts) (61.5MM HHs)</v>
      </c>
      <c s="117"/>
      <c s="117"/>
      <c s="117"/>
      <c s="117"/>
      <c s="118"/>
      <c s="31"/>
      <c s="27"/>
      <c s="27"/>
      <c s="27"/>
      <c s="21"/>
      <c s="21"/>
      <c s="122" t="str">
        <f>TEXT(1-DE111/DA111,"0.0%")&amp;IF(AND(Z2&lt;&gt;"",DA111&lt;&gt;"",DE111&lt;&gt;"",DP111&lt;&gt;"",DT111&lt;&gt;"")," ("&amp;IF(((DA111-DE111)/DA111-((DA111-DE111)-(DP111-DT111))/(DA111-DP111))&gt;0,"+","")&amp;TEXT(((DA111-DE111)/DA111-((DA111-DE111)-(DP111-DT111))/(DA111-DP111))*100,"0.0")&amp;"pts)","")&amp;IF(Z1&lt;&gt;""," ("&amp;TEXT((DA111-DE111)/1000000,"#,##0.0")&amp;"MM HHs)","")</f>
        <v>8.4% (+1.0pts) (5.6MM HHs)</v>
      </c>
      <c s="123"/>
      <c s="123"/>
      <c s="123"/>
      <c s="123"/>
      <c s="124"/>
      <c r="AJ15" s="26"/>
      <c r="AL15" s="91" t="s">
        <v>4</v>
      </c>
      <c r="CA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6" spans="1:138" ht="24.75" customHeight="1">
      <c r="A16" s="21"/>
      <c s="25"/>
      <c s="21"/>
      <c r="J16" s="119" t="str">
        <f>"Buy "&amp;MID($D$10,11,LEN($D$10)-10)&amp;" Somewhere"</f>
        <v>Buy AISLE-LAUNDRY Somewhere</v>
      </c>
      <c s="120"/>
      <c s="120"/>
      <c s="120"/>
      <c s="120"/>
      <c s="121"/>
      <c r="R16" s="80"/>
      <c s="21"/>
      <c s="30"/>
      <c s="21"/>
      <c s="125" t="str">
        <f>"Do Not Buy "&amp;MID($D$10,11,LEN($D$10)-10)&amp;" Anywhere"</f>
        <v>Do Not Buy AISLE-LAUNDRY Anywhere</v>
      </c>
      <c s="126"/>
      <c s="126"/>
      <c s="126"/>
      <c s="126"/>
      <c s="127"/>
      <c r="AJ16" s="26"/>
      <c r="AL16" s="99"/>
      <c r="CA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7" spans="1:138" ht="6" customHeight="1">
      <c r="A17" s="21"/>
      <c s="25"/>
      <c s="21"/>
      <c s="21"/>
      <c s="21"/>
      <c s="21"/>
      <c s="21"/>
      <c s="21"/>
      <c s="21"/>
      <c s="21"/>
      <c s="21"/>
      <c s="21"/>
      <c s="32"/>
      <c s="21"/>
      <c s="21"/>
      <c s="21"/>
      <c s="21"/>
      <c s="10"/>
      <c s="21"/>
      <c s="30"/>
      <c s="21"/>
      <c s="21"/>
      <c s="21"/>
      <c s="21"/>
      <c s="21"/>
      <c s="21"/>
      <c s="21"/>
      <c s="21"/>
      <c r="AI17" s="21"/>
      <c s="26"/>
      <c r="AL17" s="99"/>
      <c r="CA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8" spans="1:138" ht="3.75" customHeight="1">
      <c r="A18" s="21"/>
      <c s="25"/>
      <c s="21"/>
      <c s="34"/>
      <c s="34"/>
      <c s="34"/>
      <c s="34"/>
      <c s="34"/>
      <c s="34"/>
      <c s="34"/>
      <c s="34"/>
      <c s="34"/>
      <c s="35"/>
      <c s="34"/>
      <c s="34"/>
      <c s="34"/>
      <c s="34"/>
      <c s="34"/>
      <c s="34"/>
      <c s="35"/>
      <c s="34"/>
      <c s="34"/>
      <c s="34"/>
      <c s="34"/>
      <c s="34"/>
      <c s="34"/>
      <c s="34"/>
      <c s="34"/>
      <c s="34"/>
      <c s="34"/>
      <c s="34"/>
      <c s="34"/>
      <c s="34"/>
      <c s="34"/>
      <c s="21"/>
      <c s="26"/>
      <c r="AL18" s="90"/>
      <c r="CA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9" spans="1:138" ht="12.75" customHeight="1">
      <c r="A19" s="21"/>
      <c s="25"/>
      <c s="21"/>
      <c s="192" t="str">
        <f>IF(Z3&lt;&gt;"","$ Opportunity from 1 Additional Point of Buyer Conversion:","")</f>
        <v>$ Opportunity from 1 Additional Point of Buyer Conversion:</v>
      </c>
      <c s="192"/>
      <c s="192"/>
      <c s="192"/>
      <c s="192"/>
      <c s="193"/>
      <c s="116" t="str">
        <f>TEXT(DL111/100,"0.0%")&amp;IF(AND(Z2&lt;&gt;"",EA111&lt;&gt;"")," ("&amp;IF((EA111/100)&gt;0,"+","")&amp;TEXT(EA111,"0.0")&amp;"pts)","")&amp;IF(Z1&lt;&gt;""," ("&amp;TEXT(DH111/1000000,"#,##0.0")&amp;"MM HHs)","")</f>
        <v>26.8% (-2.1pts) (16.5MM HHs)</v>
      </c>
      <c s="117"/>
      <c s="117"/>
      <c s="117"/>
      <c s="117"/>
      <c s="118"/>
      <c s="34"/>
      <c s="34"/>
      <c s="122" t="str">
        <f>TEXT((100-DL111)/100,"0.0%")&amp;IF(AND(Z2&lt;&gt;"",EA111&lt;&gt;"")," ("&amp;IF(((EA111*(-1))/100)&gt;0,"+","")&amp;TEXT(EA111*(-1),"0.0")&amp;"pts)","")&amp;IF(Z1&lt;&gt;""," ("&amp;TEXT((DE111-DH111)/1000000,"#,##0.0")&amp;"MM HHs)","")</f>
        <v>73.2% (+2.1pts) (45.0MM HHs)</v>
      </c>
      <c s="123"/>
      <c s="123"/>
      <c s="123"/>
      <c s="123"/>
      <c s="124"/>
      <c s="34"/>
      <c s="34"/>
      <c s="128" t="s">
        <v>46</v>
      </c>
      <c s="129"/>
      <c s="129"/>
      <c s="129"/>
      <c s="129"/>
      <c s="129"/>
      <c s="129"/>
      <c s="129"/>
      <c s="3"/>
      <c s="4"/>
      <c s="26"/>
      <c r="AL19" s="90"/>
      <c r="CA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0" spans="1:138" s="37" customFormat="1" ht="12.75" customHeight="1">
      <c r="A20" s="21"/>
      <c s="25"/>
      <c s="21"/>
      <c s="192"/>
      <c s="192"/>
      <c s="192"/>
      <c s="192"/>
      <c s="192"/>
      <c s="193"/>
      <c s="200" t="str">
        <f>"Buy "&amp;MID($D$10,11,LEN($D$10)-10)&amp;" in "&amp;CV111</f>
        <v>Buy AISLE-LAUNDRY in Target Corporate</v>
      </c>
      <c s="201"/>
      <c s="201"/>
      <c s="201"/>
      <c s="201"/>
      <c s="202"/>
      <c s="34"/>
      <c s="34"/>
      <c s="169" t="str">
        <f>"Do Not Buy "&amp;MID($D$10,11,LEN($D$10)-10)&amp;" in "&amp;CV111</f>
        <v>Do Not Buy AISLE-LAUNDRY in Target Corporate</v>
      </c>
      <c s="170"/>
      <c s="170"/>
      <c s="170"/>
      <c s="170"/>
      <c s="171"/>
      <c s="34"/>
      <c s="34"/>
      <c s="128"/>
      <c s="129"/>
      <c s="129"/>
      <c s="129"/>
      <c s="129"/>
      <c s="129"/>
      <c s="129"/>
      <c s="129"/>
      <c s="3"/>
      <c s="4"/>
      <c s="26"/>
      <c r="AL20" s="90"/>
      <c r="CA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21" spans="1:138" ht="12.75" customHeight="1">
      <c r="A21" s="21"/>
      <c s="25"/>
      <c s="21"/>
      <c s="194">
        <f>IF(Z3&lt;&gt;"",DM111,"")</f>
        <v>16876764.4116231</v>
      </c>
      <c s="195"/>
      <c s="195"/>
      <c s="195"/>
      <c s="195"/>
      <c s="196"/>
      <c s="203"/>
      <c s="204"/>
      <c s="204"/>
      <c s="204"/>
      <c s="204"/>
      <c s="205"/>
      <c s="34"/>
      <c s="34"/>
      <c s="172"/>
      <c s="173"/>
      <c s="173"/>
      <c s="173"/>
      <c s="173"/>
      <c s="174"/>
      <c s="34"/>
      <c s="34"/>
      <c s="129"/>
      <c s="129"/>
      <c s="129"/>
      <c s="129"/>
      <c s="129"/>
      <c s="129"/>
      <c s="129"/>
      <c s="129"/>
      <c s="38"/>
      <c s="39"/>
      <c s="26"/>
      <c r="AL21" s="90"/>
      <c r="CA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2" spans="1:138" s="43" customFormat="1" ht="3.75" customHeight="1">
      <c r="A22" s="40"/>
      <c s="41"/>
      <c s="40"/>
      <c s="34"/>
      <c s="34"/>
      <c s="36"/>
      <c s="36"/>
      <c s="36"/>
      <c s="5"/>
      <c s="5"/>
      <c s="8"/>
      <c s="5"/>
      <c s="34"/>
      <c s="34"/>
      <c s="34"/>
      <c s="34"/>
      <c s="34"/>
      <c s="5"/>
      <c s="5"/>
      <c s="8"/>
      <c s="5"/>
      <c s="34"/>
      <c s="38"/>
      <c s="34"/>
      <c s="34"/>
      <c s="34"/>
      <c s="34"/>
      <c s="38"/>
      <c s="38"/>
      <c s="38"/>
      <c s="38"/>
      <c s="38"/>
      <c s="38"/>
      <c s="38"/>
      <c s="39"/>
      <c s="42"/>
      <c r="AL22" s="90"/>
      <c r="CA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3" spans="1:138" s="43" customFormat="1" ht="6" customHeight="1">
      <c r="A23" s="40"/>
      <c s="41"/>
      <c s="40"/>
      <c s="40"/>
      <c s="40"/>
      <c s="39"/>
      <c s="44"/>
      <c s="45"/>
      <c s="45"/>
      <c s="45"/>
      <c s="46"/>
      <c s="44"/>
      <c s="44"/>
      <c s="40"/>
      <c s="40"/>
      <c s="39"/>
      <c s="39"/>
      <c s="40"/>
      <c s="39"/>
      <c s="46"/>
      <c s="45"/>
      <c s="45"/>
      <c s="39"/>
      <c s="40"/>
      <c s="40"/>
      <c s="40"/>
      <c s="40"/>
      <c s="39"/>
      <c s="39"/>
      <c s="39"/>
      <c s="39"/>
      <c s="39"/>
      <c s="39"/>
      <c s="39"/>
      <c s="39"/>
      <c s="42"/>
      <c r="AL23" s="90"/>
      <c r="CA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4" spans="1:138" s="43" customFormat="1" ht="6" customHeight="1">
      <c r="A24" s="40"/>
      <c s="41"/>
      <c s="40"/>
      <c s="40"/>
      <c s="40"/>
      <c s="39"/>
      <c s="47"/>
      <c s="39"/>
      <c s="39"/>
      <c s="39"/>
      <c s="39"/>
      <c s="40"/>
      <c s="40"/>
      <c s="48"/>
      <c s="40"/>
      <c s="39"/>
      <c s="39"/>
      <c s="40"/>
      <c s="39"/>
      <c s="39"/>
      <c s="39"/>
      <c s="39"/>
      <c s="46"/>
      <c s="40"/>
      <c s="40"/>
      <c s="40"/>
      <c s="40"/>
      <c s="39"/>
      <c s="39"/>
      <c s="39"/>
      <c s="39"/>
      <c s="39"/>
      <c s="39"/>
      <c s="39"/>
      <c s="39"/>
      <c s="42"/>
      <c r="AL24" s="90"/>
      <c r="CA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5" spans="1:138" s="43" customFormat="1" ht="12" customHeight="1">
      <c r="A25" s="40"/>
      <c s="41"/>
      <c s="40"/>
      <c s="184" t="s">
        <v>1</v>
      </c>
      <c s="185"/>
      <c s="185"/>
      <c s="185"/>
      <c s="185"/>
      <c s="185"/>
      <c s="185"/>
      <c s="185"/>
      <c s="185"/>
      <c s="185"/>
      <c s="185"/>
      <c s="185"/>
      <c s="185"/>
      <c s="185"/>
      <c s="186"/>
      <c s="39"/>
      <c s="187" t="s">
        <v>2</v>
      </c>
      <c s="188"/>
      <c s="188"/>
      <c s="188"/>
      <c s="188"/>
      <c s="188"/>
      <c s="188"/>
      <c s="188"/>
      <c s="188"/>
      <c s="188"/>
      <c s="188"/>
      <c s="188"/>
      <c s="188"/>
      <c s="188"/>
      <c s="189"/>
      <c s="39"/>
      <c s="42"/>
      <c r="AL25" s="90"/>
      <c r="CA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6" spans="1:138" s="43" customFormat="1" ht="6" customHeight="1">
      <c r="A26" s="40"/>
      <c s="41"/>
      <c s="40"/>
      <c s="40"/>
      <c s="40"/>
      <c s="39"/>
      <c s="49"/>
      <c s="10"/>
      <c s="39"/>
      <c s="39"/>
      <c s="39"/>
      <c s="40"/>
      <c s="40"/>
      <c s="12"/>
      <c s="40"/>
      <c s="39"/>
      <c s="39"/>
      <c s="40"/>
      <c s="50"/>
      <c s="50"/>
      <c s="50"/>
      <c s="50"/>
      <c s="51"/>
      <c s="10"/>
      <c s="50"/>
      <c r="AC26" s="50"/>
      <c s="50"/>
      <c s="50"/>
      <c s="50"/>
      <c s="50"/>
      <c s="50"/>
      <c s="50"/>
      <c s="42"/>
      <c r="AL26" s="90"/>
      <c r="CA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7" spans="1:138" s="43" customFormat="1" ht="3.75" customHeight="1">
      <c r="A27" s="40"/>
      <c s="41"/>
      <c s="40"/>
      <c s="52"/>
      <c s="52"/>
      <c s="53"/>
      <c s="54"/>
      <c s="53"/>
      <c s="53"/>
      <c s="53"/>
      <c s="53"/>
      <c s="52"/>
      <c s="52"/>
      <c s="55"/>
      <c s="52"/>
      <c s="53"/>
      <c s="53"/>
      <c s="52"/>
      <c s="56"/>
      <c s="56"/>
      <c s="56"/>
      <c s="56"/>
      <c s="57"/>
      <c s="56"/>
      <c s="56"/>
      <c s="58"/>
      <c s="58"/>
      <c s="58"/>
      <c s="56"/>
      <c s="56"/>
      <c s="56"/>
      <c s="56"/>
      <c s="56"/>
      <c s="56"/>
      <c s="50"/>
      <c s="42"/>
      <c r="CA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8" spans="1:138" s="43" customFormat="1" ht="12" customHeight="1">
      <c r="A28" s="40"/>
      <c s="41"/>
      <c s="40"/>
      <c s="52"/>
      <c s="116" t="str">
        <f>TEXT(DI111/DI112,"0.0%")&amp;IF(AND(Z2&lt;&gt;"",DI111&lt;&gt;"",DI112&lt;&gt;"",DX111&lt;&gt;"",DX112&lt;&gt;"")," ("&amp;IF((DI111/DI112-(DI111-DX111)/(DI112-DX112))&gt;0,"+","")&amp;TEXT((DI111/DI112-(DI111-DX111)/(DI112-DX112))*100,"0.0")&amp;"pts)","")&amp;IF(Z1&lt;&gt;""," ("&amp;TEXT(DI111/1000000,"$#,##0.0")&amp;"MM)","")</f>
        <v>31.3% (+0.4pts) ($244.7MM)</v>
      </c>
      <c s="117"/>
      <c s="117"/>
      <c s="117"/>
      <c s="117"/>
      <c s="118"/>
      <c s="6"/>
      <c s="122" t="str">
        <f>TEXT(DK112/DI112,"0.0%")&amp;IF(AND(Z2&lt;&gt;"",DK112&lt;&gt;"",DI112&lt;&gt;"",DZ112&lt;&gt;"",DX112&lt;&gt;"")," ("&amp;IF((DK112/DI112-(DK112-DZ112)/(DI112-DX112))&gt;0,"+","")&amp;TEXT((DK112/DI112-(DK112-DZ112)/(DI112-DX112))*100,"0.0")&amp;"pts)","")&amp;IF(Z1&lt;&gt;""," ("&amp;TEXT(DK112/1000000,"$#,##0.0")&amp;"MM)","")</f>
        <v>68.7% (-0.4pts) ($536.2MM)</v>
      </c>
      <c s="123"/>
      <c s="123"/>
      <c s="123"/>
      <c s="123"/>
      <c s="124"/>
      <c s="105"/>
      <c s="100"/>
      <c s="102"/>
      <c s="100"/>
      <c s="122" t="str">
        <f>"100.0%"&amp;IF(Z2&lt;&gt;""," (0.0pts)","")&amp;IF(Z1&lt;&gt;""," ("&amp;TEXT(DJ112/1000000,"$#,##0.0")&amp;"MM)","")</f>
        <v>100.0% (0.0pts) ($1,805.5MM)</v>
      </c>
      <c s="123"/>
      <c s="123"/>
      <c s="123"/>
      <c s="123"/>
      <c s="124"/>
      <c s="190" t="s">
        <v>47</v>
      </c>
      <c s="129"/>
      <c s="129"/>
      <c s="129"/>
      <c s="129"/>
      <c s="129"/>
      <c s="56"/>
      <c s="50"/>
      <c s="42"/>
      <c r="CA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9" spans="1:138" s="43" customFormat="1" ht="24" customHeight="1">
      <c r="A29" s="40"/>
      <c s="41"/>
      <c s="40"/>
      <c s="52"/>
      <c s="138" t="str">
        <f>MID($D$10,11,LEN($D$10)-10)&amp;" $ Spent in "&amp;CV111</f>
        <v>AISLE-LAUNDRY $ Spent in Target Corporate</v>
      </c>
      <c s="139"/>
      <c s="139"/>
      <c s="139"/>
      <c s="139"/>
      <c s="140"/>
      <c s="53"/>
      <c s="125" t="str">
        <f>MID($D$10,11,LEN($D$10)-10)&amp;" $ Leaked Elsewhere"</f>
        <v>AISLE-LAUNDRY $ Leaked Elsewhere</v>
      </c>
      <c s="126"/>
      <c s="126"/>
      <c s="126"/>
      <c s="126"/>
      <c s="127"/>
      <c s="106"/>
      <c s="100"/>
      <c s="101"/>
      <c s="100"/>
      <c s="125" t="str">
        <f>MID($D$10,11,LEN($D$10)-10)&amp;" $ Leaked Elsewhere"</f>
        <v>AISLE-LAUNDRY $ Leaked Elsewhere</v>
      </c>
      <c s="126"/>
      <c s="126"/>
      <c s="126"/>
      <c s="126"/>
      <c s="127"/>
      <c s="191"/>
      <c s="129"/>
      <c s="129"/>
      <c s="129"/>
      <c s="129"/>
      <c s="129"/>
      <c s="56"/>
      <c s="50"/>
      <c s="42"/>
      <c r="CA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0" spans="1:138" s="43" customFormat="1" ht="3.75" customHeight="1">
      <c r="A30" s="40"/>
      <c s="41"/>
      <c s="40"/>
      <c s="52"/>
      <c s="52"/>
      <c s="7"/>
      <c s="7"/>
      <c s="7"/>
      <c s="7"/>
      <c s="53"/>
      <c s="53"/>
      <c s="7"/>
      <c s="7"/>
      <c s="9"/>
      <c s="52"/>
      <c s="53"/>
      <c s="53"/>
      <c s="52"/>
      <c s="56"/>
      <c s="56"/>
      <c s="56"/>
      <c s="7"/>
      <c s="9"/>
      <c s="7"/>
      <c s="56"/>
      <c s="58"/>
      <c s="58"/>
      <c s="58"/>
      <c s="56"/>
      <c s="56"/>
      <c s="56"/>
      <c s="56"/>
      <c s="56"/>
      <c s="56"/>
      <c s="50"/>
      <c s="42"/>
      <c r="CA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1" spans="1:138" s="43" customFormat="1" ht="6" customHeight="1">
      <c r="A31" s="40"/>
      <c s="41"/>
      <c s="40"/>
      <c s="40"/>
      <c s="40"/>
      <c s="39"/>
      <c s="45"/>
      <c s="45"/>
      <c s="45"/>
      <c s="39"/>
      <c s="45"/>
      <c s="44"/>
      <c s="44"/>
      <c s="60"/>
      <c s="44"/>
      <c s="45"/>
      <c s="45"/>
      <c s="40"/>
      <c s="19"/>
      <c s="39"/>
      <c s="39"/>
      <c s="39"/>
      <c s="46"/>
      <c s="45"/>
      <c s="44"/>
      <c s="40"/>
      <c s="44"/>
      <c s="44"/>
      <c s="45"/>
      <c s="39"/>
      <c s="45"/>
      <c s="45"/>
      <c s="45"/>
      <c s="39"/>
      <c s="50"/>
      <c s="42"/>
      <c r="CA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2" spans="1:138" s="43" customFormat="1" ht="6" customHeight="1">
      <c r="A32" s="40"/>
      <c s="41"/>
      <c s="40"/>
      <c s="40"/>
      <c s="40"/>
      <c s="13"/>
      <c s="39"/>
      <c s="39"/>
      <c s="39"/>
      <c s="13"/>
      <c s="39"/>
      <c s="40"/>
      <c s="40"/>
      <c s="13"/>
      <c s="40"/>
      <c s="39"/>
      <c s="39"/>
      <c s="14"/>
      <c s="19"/>
      <c s="40"/>
      <c s="40"/>
      <c s="13"/>
      <c s="39"/>
      <c s="39"/>
      <c s="39"/>
      <c s="13"/>
      <c s="39"/>
      <c s="40"/>
      <c s="40"/>
      <c s="13"/>
      <c s="40"/>
      <c s="39"/>
      <c s="39"/>
      <c s="14"/>
      <c s="50"/>
      <c s="42"/>
      <c r="CA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3" spans="1:138" s="43" customFormat="1" ht="12" customHeight="1">
      <c r="A33" s="40"/>
      <c s="41"/>
      <c s="40"/>
      <c s="197" t="str">
        <f>IF(ISERROR(VLOOKUP(1,$CC$110:$EH$300,54,FALSE))=FALSE,TEXT(VLOOKUP(1,$CC$110:$EH$300,54,FALSE)/$DI$112,"0.0%")&amp;IF(AND($Z2&lt;&gt;"",VLOOKUP(1,$CC$110:$EH$300,58,FALSE)&lt;&gt;"")," ("&amp;IF(VLOOKUP(1,$CC$110:$EH$300,58,FALSE)&gt;0,"+","")&amp;TEXT(VLOOKUP(1,$CC$110:$EH$300,58,FALSE)*100,"0.0")&amp;"pts)",""),"")</f>
        <v>23.2% (-2.1pts)</v>
      </c>
      <c s="198"/>
      <c s="199"/>
      <c s="39"/>
      <c s="197" t="str">
        <f>IF(ISERROR(VLOOKUP(2,$CC$110:$EH$300,54,FALSE))=FALSE,TEXT(VLOOKUP(2,$CC$110:$EH$300,54,FALSE)/$DI$112,"0.0%")&amp;IF(AND($Z2&lt;&gt;"",VLOOKUP(2,$CC$110:$EH$300,58,FALSE)&lt;&gt;"")," ("&amp;IF(VLOOKUP(2,$CC$110:$EH$300,58,FALSE)&gt;0,"+","")&amp;TEXT(VLOOKUP(2,$CC$110:$EH$300,58,FALSE)*100,"0.0")&amp;"pts)",""),"")</f>
        <v>16.1% (+0.4pts)</v>
      </c>
      <c s="198"/>
      <c s="199"/>
      <c s="4"/>
      <c s="197" t="str">
        <f>IF(ISERROR(VLOOKUP(3,$CC$110:$EH$300,54,FALSE))=FALSE,TEXT(VLOOKUP(3,$CC$110:$EH$300,54,FALSE)/$DI$112,"0.0%")&amp;IF(AND($Z2&lt;&gt;"",VLOOKUP(3,$CC$110:$EH$300,58,FALSE)&lt;&gt;"")," ("&amp;IF(VLOOKUP(3,$CC$110:$EH$300,58,FALSE)&gt;0,"+","")&amp;TEXT(VLOOKUP(3,$CC$110:$EH$300,58,FALSE)*100,"0.0")&amp;"pts)",""),"")</f>
        <v>15.5% (+2.0pts)</v>
      </c>
      <c s="198"/>
      <c s="199"/>
      <c r="P33" s="197" t="str">
        <f>IF(Z4&lt;&gt;"",IF(DK112&lt;&gt;"",TEXT((DK112-IF(ISERROR(VLOOKUP(1,$CC$110:$EH$300,54,FALSE))=FALSE,VLOOKUP(1,$CC$110:$EH$300,54,FALSE))-IF(ISERROR(VLOOKUP(2,$CC$110:$EH$300,54,FALSE))=FALSE,VLOOKUP(2,$CC$110:$EH$300,54,FALSE))-IF(ISERROR(VLOOKUP(3,$CC$110:$EH$300,54,FALSE))=FALSE,VLOOKUP(3,$CC$110:$EH$300,54,FALSE)))/DI112,"0.0%")&amp;IF(AND(Z2&lt;&gt;"",DK112&lt;&gt;"",DI112&lt;&gt;"",DZ112&lt;&gt;"",DX112&lt;&gt;"")," ("&amp;IF((DK112/DI112-(DK112-DZ112)/(DI112-DX112))*100-IF(AND($Z2&lt;&gt;"",ISERROR(VLOOKUP(1,$CC$110:$EH$300,58,FALSE))=FALSE),VLOOKUP(1,$CC$110:$EH$300,58,FALSE)*100,0)-IF(AND($Z2&lt;&gt;"",ISERROR(VLOOKUP(2,$CC$110:$EH$300,58,FALSE))=FALSE),VLOOKUP(2,$CC$110:$EH$300,58,FALSE)*100,0)-IF(AND($Z2&lt;&gt;"",ISERROR(VLOOKUP(3,$CC$110:$EH$300,58,FALSE))=FALSE),VLOOKUP(3,$CC$110:$EH$300,58,FALSE)*100,0)&gt;0,"+","")&amp;TEXT((DK112/DI112-(DK112-DZ112)/(DI112-DX112))*100-IF(AND($Z2&lt;&gt;"",ISERROR(VLOOKUP(1,$CC$110:$EH$300,58,FALSE))=FALSE),VLOOKUP(1,$CC$110:$EH$300,58,FALSE)*100,0)-IF(AND($Z2&lt;&gt;"",ISERROR(VLOOKUP(2,$CC$110:$EH$300,58,FALSE))=FALSE),VLOOKUP(2,$CC$110:$EH$300,58,FALSE)*100,0)-IF(AND($Z2&lt;&gt;"",ISERROR(VLOOKUP(3,$CC$110:$EH$300,58,FALSE))=FALSE),VLOOKUP(3,$CC$110:$EH$300,58,FALSE)*100,0),"0.0")&amp;"pts)",""),""),IF(ISERROR(VLOOKUP(4,$CC$110:$EH$300,54,FALSE))=FALSE,TEXT(VLOOKUP(4,$CC$110:$EH$300,54,FALSE)/$DI$112,"0.0%")&amp;IF(AND($Z2&lt;&gt;"",VLOOKUP(4,$CC$110:$EH$300,58,FALSE)&lt;&gt;"")," ("&amp;IF(VLOOKUP(4,$CC$110:$EH$300,58,FALSE)&gt;0,"+","")&amp;TEXT(VLOOKUP(4,$CC$110:$EH$300,58,FALSE)*100,"0.0")&amp;"pts)",""),""))</f>
        <v>13.9% (-0.7pts)</v>
      </c>
      <c s="198"/>
      <c s="199"/>
      <c s="19"/>
      <c s="181" t="str">
        <f>IF(ISERROR(VLOOKUP(1,$CM$110:$EH$300,47,FALSE))=FALSE,TEXT(VLOOKUP(1,$CM$110:$DJ$300,24,FALSE)/$DJ$112,"0.0%")&amp;IF(AND($Z2&lt;&gt;"",VLOOKUP(1,$CM$110:$EH$300,47,FALSE)&lt;&gt;"")," ("&amp;IF(VLOOKUP(1,$CM$110:$EH$300,47,FALSE)&gt;0,"+","")&amp;TEXT(VLOOKUP(1,$CM$110:$EH$300,47,FALSE)*100,"0.0")&amp;"pts)",""),"")</f>
        <v>33.8% (-1.8pts)</v>
      </c>
      <c s="182"/>
      <c s="183"/>
      <c s="39"/>
      <c s="181" t="str">
        <f>IF(ISERROR(VLOOKUP(2,$CM$110:$EH$300,47,FALSE))=FALSE,TEXT(VLOOKUP(2,$CM$110:$DJ$300,24,FALSE)/$DJ$112,"0.0%")&amp;IF(AND($Z2&lt;&gt;"",VLOOKUP(2,$CM$110:$EH$300,47,FALSE)&lt;&gt;"")," ("&amp;IF(VLOOKUP(2,$CM$110:$EH$300,47,FALSE)&gt;0,"+","")&amp;TEXT(VLOOKUP(2,$CM$110:$EH$300,47,FALSE)*100,"0.0")&amp;"pts)",""),"")</f>
        <v>23.6% (+0.4pts)</v>
      </c>
      <c s="182"/>
      <c s="183"/>
      <c s="4"/>
      <c s="181" t="str">
        <f>IF(ISERROR(VLOOKUP(3,$CM$110:$EH$300,47,FALSE))=FALSE,TEXT(VLOOKUP(3,$CM$110:$DJ$300,24,FALSE)/$DJ$112,"0.0%")&amp;IF(AND($Z2&lt;&gt;"",VLOOKUP(3,$CM$110:$EH$300,47,FALSE)&lt;&gt;"")," ("&amp;IF(VLOOKUP(3,$CM$110:$EH$300,47,FALSE)&gt;0,"+","")&amp;TEXT(VLOOKUP(3,$CM$110:$EH$300,47,FALSE)*100,"0.0")&amp;"pts)",""),"")</f>
        <v>23.5% (+1.5pts)</v>
      </c>
      <c s="182"/>
      <c s="183"/>
      <c r="AF33" s="181" t="str">
        <f>IF(Z4&lt;&gt;"",IF(DK112&lt;&gt;"",IF(DJ112&lt;&gt;"",TEXT((DJ112-IF(ISERROR(VLOOKUP(1,$CM$110:$DJ$300,24,FALSE))=FALSE,VLOOKUP(1,$CM$110:$DJ$300,24,FALSE))-IF(ISERROR(VLOOKUP(2,$CM$110:$DJ$300,24,FALSE))=FALSE,VLOOKUP(2,$CM$110:$DJ$300,24,FALSE))-IF(ISERROR(VLOOKUP(3,$CM$110:$DJ$300,24,FALSE))=FALSE,VLOOKUP(3,$CM$110:$DJ$300,24,FALSE)))/DJ112,"0.0%"),"")&amp;IF(AND(Z2&lt;&gt;"",DJ112&lt;&gt;"",DY112&lt;&gt;"")," ("&amp;IF(0-IF(AND($Z2&lt;&gt;"",ISERROR(VLOOKUP(1,$CM$110:$EH$300,47,FALSE))=FALSE),VLOOKUP(1,$CM$110:$EH$300,47,FALSE)*100,0)-IF(AND($Z2&lt;&gt;"",ISERROR(VLOOKUP(2,$CM$110:$EH$300,47,FALSE))=FALSE),VLOOKUP(2,$CM$110:$EH$300,47,FALSE)*100,0)-IF(AND($Z2&lt;&gt;"",ISERROR(VLOOKUP(3,$CM$110:$EH$300,47,FALSE))=FALSE),VLOOKUP(3,$CM$110:$EH$300,47,FALSE)*100,0)&gt;0,"+","")&amp;TEXT(0-IF(AND($Z2&lt;&gt;"",ISERROR(VLOOKUP(1,$CM$110:$EH$300,47,FALSE))=FALSE),VLOOKUP(1,$CM$110:$EH$300,47,FALSE)*100,0)-IF(AND($Z2&lt;&gt;"",ISERROR(VLOOKUP(2,$CM$110:$EH$300,47,FALSE))=FALSE),VLOOKUP(2,$CM$110:$EH$300,47,FALSE)*100,0)-IF(AND($Z2&lt;&gt;"",ISERROR(VLOOKUP(3,$CM$110:$EH$300,47,FALSE))=FALSE),VLOOKUP(3,$CM$110:$EH$300,47,FALSE)*100,0),"0.0")&amp;"pts)",""),""),IF(ISERROR(VLOOKUP(4,$CM$110:$DJ$300,24,FALSE))=FALSE,TEXT(VLOOKUP(4,$CM$110:$DJ$300,24,FALSE)/$DJ$112,"0.0%")&amp;IF(AND($Z2&lt;&gt;"",VLOOKUP(4,$CM$110:$EH$300,47,FALSE)&lt;&gt;"")," ("&amp;IF(VLOOKUP(4,$CM$110:$EH$300,47,FALSE)&gt;0,"+","")&amp;TEXT(VLOOKUP(4,$CM$110:$EH$300,47,FALSE)*100,"0.0")&amp;"pts)",""),""))</f>
        <v>19.1% (-0.1pts)</v>
      </c>
      <c s="182"/>
      <c s="183"/>
      <c s="50"/>
      <c s="42"/>
      <c r="CA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4" spans="1:138" s="43" customFormat="1" ht="47.25" customHeight="1">
      <c r="A34" s="40"/>
      <c s="41"/>
      <c s="40"/>
      <c s="132" t="str">
        <f>IF(ISERROR(VLOOKUP(1,$CC$110:$EH$300,54,FALSE))=FALSE,MID($D$10,11,LEN($D$10)-10)&amp;" $ Leaked to "&amp;VLOOKUP(1,$CC$110:$CV$300,20,FALSE)&amp;IF($Z1&lt;&gt;""," ("&amp;TEXT(VLOOKUP(1,$CC$110:$EH$300,54,FALSE)/1000000,"$#,##0.0")&amp;"MM)",""),"")</f>
        <v>AISLE-LAUNDRY $ Leaked to GroceryX ($181.2MM)</v>
      </c>
      <c s="133"/>
      <c s="134"/>
      <c s="39"/>
      <c s="132" t="str">
        <f>IF(ISERROR(VLOOKUP(2,$CC$110:$EH$300,54,FALSE))=FALSE,MID($D$10,11,LEN($D$10)-10)&amp;" $ Leaked to "&amp;VLOOKUP(2,$CC$110:$CV$300,20,FALSE)&amp;IF($Z1&lt;&gt;""," ("&amp;TEXT(VLOOKUP(2,$CC$110:$EH$300,54,FALSE)/1000000,"$#,##0.0")&amp;"MM)",""),"")</f>
        <v>AISLE-LAUNDRY $ Leaked to Club ($125.4MM)</v>
      </c>
      <c s="133"/>
      <c s="134"/>
      <c s="39"/>
      <c s="132" t="str">
        <f>IF(ISERROR(VLOOKUP(3,$CC$110:$EH$300,54,FALSE))=FALSE,MID($D$10,11,LEN($D$10)-10)&amp;" $ Leaked to "&amp;VLOOKUP(3,$CC$110:$CV$300,20,FALSE)&amp;IF($Z1&lt;&gt;""," ("&amp;TEXT(VLOOKUP(3,$CC$110:$EH$300,54,FALSE)/1000000,"$#,##0.0")&amp;"MM)",""),"")</f>
        <v>AISLE-LAUNDRY $ Leaked to Walmart Total ($120.7MM)</v>
      </c>
      <c s="133"/>
      <c s="134"/>
      <c r="P34" s="132" t="str">
        <f>IF(Z4&lt;&gt;"",MID($D$10,11,LEN($D$10)-10)&amp;" $ Leaked to Other Channels"&amp;IF(Z1&lt;&gt;""," ("&amp;TEXT((DK112-IFERROR(VLOOKUP(1,$CC$110:$EH$300,54,FALSE),0)-IFERROR(VLOOKUP(2,$CC$110:$EH$300,54,FALSE),0)-IFERROR(VLOOKUP(3,$CC$110:$EH$300,54,FALSE),0))/1000000,"$#,##0.0")&amp;"MM)",""),IF(ISERROR(VLOOKUP(4,$CC$110:$EH$300,54,FALSE))=FALSE,MID($D$10,11,LEN($D$10)-10)&amp;" $ Leaked to "&amp;VLOOKUP(4,$CC$110:$CV$300,20,FALSE)&amp;IF($Z1&lt;&gt;""," ("&amp;TEXT(VLOOKUP(4,$CC$110:$EH$300,54,FALSE)/1000000,"$#,##0.0")&amp;"MM)",""),""))</f>
        <v>AISLE-LAUNDRY $ Leaked to Other Channels ($108.8MM)</v>
      </c>
      <c s="133"/>
      <c s="134"/>
      <c s="19"/>
      <c s="135" t="str">
        <f>IF(ISERROR(VLOOKUP(1,$CM$110:$CV$300,10,FALSE))=FALSE,MID($D$10,11,LEN($D$10)-10)&amp;" $ Leaked to "&amp;VLOOKUP(1,$CM$110:$CV$300,10,FALSE)&amp;IF($Z1&lt;&gt;""," ("&amp;TEXT(VLOOKUP(1,$CM$110:$DJ$300,24,FALSE)/1000000,"$#,##0.0")&amp;"MM)",""),"")</f>
        <v>AISLE-LAUNDRY $ Leaked to GroceryX ($610.4MM)</v>
      </c>
      <c s="136"/>
      <c s="137"/>
      <c s="39"/>
      <c s="135" t="str">
        <f>IF(ISERROR(VLOOKUP(2,$CM$110:$CV$300,10,FALSE))=FALSE,MID($D$10,11,LEN($D$10)-10)&amp;" $ Leaked to "&amp;VLOOKUP(2,$CM$110:$CV$300,10,FALSE)&amp;IF($Z1&lt;&gt;""," ("&amp;TEXT(VLOOKUP(2,$CM$110:$DJ$300,24,FALSE)/1000000,"$#,##0.0")&amp;"MM)",""),"")</f>
        <v>AISLE-LAUNDRY $ Leaked to Club ($425.4MM)</v>
      </c>
      <c s="136"/>
      <c s="137"/>
      <c s="39"/>
      <c s="135" t="str">
        <f>IF(ISERROR(VLOOKUP(3,$CM$110:$CV$300,10,FALSE))=FALSE,MID($D$10,11,LEN($D$10)-10)&amp;" $ Leaked to "&amp;VLOOKUP(3,$CM$110:$CV$300,10,FALSE)&amp;IF($Z1&lt;&gt;""," ("&amp;TEXT(VLOOKUP(3,$CM$110:$DJ$300,24,FALSE)/1000000,"$#,##0.0")&amp;"MM)",""),"")</f>
        <v>AISLE-LAUNDRY $ Leaked to Walmart Total ($425.0MM)</v>
      </c>
      <c s="136"/>
      <c s="137"/>
      <c r="AF34" s="135" t="str">
        <f>IF(Z4&lt;&gt;"",MID($D$10,11,LEN($D$10)-10)&amp;" $ Leaked to Other Channels"&amp;IF(Z1&lt;&gt;""," ("&amp;TEXT((DJ112-IFERROR(VLOOKUP(1,$CM$110:$DJ$300,24,FALSE),0)-IFERROR(VLOOKUP(2,$CM$110:$DJ$300,24,FALSE),0)-IFERROR(VLOOKUP(3,$CM$110:$DJ$300,24,FALSE),0))/1000000,"$#,##0.0")&amp;"MM)",""),IF(ISERROR(VLOOKUP(4,$CM$110:$DJ$300,24,FALSE))=FALSE,MID($D$10,11,LEN($D$10)-10)&amp;" $ Leaked to "&amp;VLOOKUP(4,$CM$110:$CV$300,10,FALSE)&amp;IF($Z1&lt;&gt;""," ("&amp;TEXT(VLOOKUP(4,$CM$110:$DJ$300,24,FALSE)/1000000,"$#,##0.0")&amp;"MM)",""),""))</f>
        <v>AISLE-LAUNDRY $ Leaked to Other Channels ($344.6MM)</v>
      </c>
      <c s="136"/>
      <c s="137"/>
      <c s="50"/>
      <c s="42"/>
      <c r="AL34" s="111"/>
      <c r="CA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5" spans="1:138" s="43" customFormat="1" ht="7.5" customHeight="1">
      <c r="A35" s="40"/>
      <c s="41"/>
      <c s="40"/>
      <c s="40"/>
      <c s="40"/>
      <c s="39"/>
      <c s="39"/>
      <c s="39"/>
      <c s="39"/>
      <c s="39"/>
      <c s="39"/>
      <c s="40"/>
      <c s="40"/>
      <c s="40"/>
      <c s="40"/>
      <c s="39"/>
      <c s="39"/>
      <c s="40"/>
      <c s="19"/>
      <c s="40"/>
      <c s="40"/>
      <c s="39"/>
      <c s="39"/>
      <c s="39"/>
      <c s="39"/>
      <c s="39"/>
      <c s="39"/>
      <c s="40"/>
      <c s="40"/>
      <c s="40"/>
      <c s="40"/>
      <c s="39"/>
      <c s="39"/>
      <c s="40"/>
      <c s="50"/>
      <c s="42"/>
      <c r="AL35" s="103"/>
      <c r="CA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6" spans="1:138" s="43" customFormat="1" ht="11.25" customHeight="1">
      <c r="A36" s="40"/>
      <c s="41"/>
      <c s="40"/>
      <c s="88" t="str">
        <f>IF(ISERROR(VLOOKUP(1,$CE$113:$DM$300,33,FALSE))=FALSE,TEXT(VLOOKUP(1,$CE$113:$DM$300,33,FALSE)/$DI$112,"0.0%"),"")</f>
        <v>2.9%</v>
      </c>
      <c s="131" t="str">
        <f>IF(ISERROR(VLOOKUP(1,$CE$113:$CV$300,18,FALSE))=FALSE,VLOOKUP(1,$CE$113:$CV$300,18,FALSE),"")</f>
        <v>Kroger</v>
      </c>
      <c s="131"/>
      <c s="16"/>
      <c s="88" t="str">
        <f>IF(ISERROR(VLOOKUP(1,$CG$113:$DM$300,31,FALSE))=FALSE,TEXT(VLOOKUP(1,$CG$113:$DM$300,31,FALSE)/$DI$112,"0.0%"),"")</f>
        <v>8.1%</v>
      </c>
      <c s="131" t="str">
        <f>IF(ISERROR(VLOOKUP(1,$CG$113:$CV$300,16,FALSE))=FALSE,VLOOKUP(1,$CG$113:$CV$300,16,FALSE),"")</f>
        <v>Costco</v>
      </c>
      <c s="131"/>
      <c s="17"/>
      <c s="88" t="str">
        <f>IF(ISERROR(VLOOKUP(1,$CI$113:$DM$300,29,FALSE))=FALSE,TEXT(VLOOKUP(1,$CI$113:$DM$300,29,FALSE)/$DI$112,"0.0%"),"")</f>
        <v>12.1%</v>
      </c>
      <c s="131" t="str">
        <f>IF(ISERROR(VLOOKUP(1,$CI$113:$CV$300,14,FALSE))=FALSE,VLOOKUP(1,$CI$113:$CV$300,14,FALSE),"")</f>
        <v>Walmart Supercenter</v>
      </c>
      <c s="131"/>
      <c s="17"/>
      <c s="88" t="str">
        <f>IF(ISERROR(VLOOKUP(1,$CK$113:$DM$300,27,FALSE))=FALSE,TEXT(VLOOKUP(1,$CK$113:$DM$300,27,FALSE)/$DI$112,"0.0%"),"")</f>
        <v>3.3%</v>
      </c>
      <c s="131" t="str">
        <f>IF(ISERROR(VLOOKUP(1,$CK$113:$CV$300,12,FALSE))=FALSE,VLOOKUP(1,$CK$113:$CV$300,12,FALSE),"")</f>
        <v>CVS</v>
      </c>
      <c s="131"/>
      <c s="61"/>
      <c s="88" t="str">
        <f>IF(ISERROR(VLOOKUP(1,$CO$113:$DJ$300,22,FALSE))=FALSE,TEXT(VLOOKUP(1,$CO$113:$DJ$300,22,FALSE)/$DJ$112,"0.0%"),"")</f>
        <v>4.6%</v>
      </c>
      <c s="131" t="str">
        <f>IF(ISERROR(VLOOKUP(1,$CO$113:$CV$300,8,FALSE))=FALSE,VLOOKUP(1,$CO$113:$CV$300,8,FALSE),"")</f>
        <v>Kroger</v>
      </c>
      <c s="131"/>
      <c s="16"/>
      <c s="88" t="str">
        <f>IF(ISERROR(VLOOKUP(1,$CQ$113:$DJ$300,20,FALSE))=FALSE,TEXT(VLOOKUP(1,$CQ$113:$DJ$300,20,FALSE)/$DJ$112,"0.0%"),"")</f>
        <v>10.8%</v>
      </c>
      <c s="131" t="str">
        <f>IF(ISERROR(VLOOKUP(1,$CQ$113:$CV$300,6,FALSE))=FALSE,VLOOKUP(1,$CQ$113:$CV$300,6,FALSE),"")</f>
        <v>Costco</v>
      </c>
      <c s="131"/>
      <c s="18"/>
      <c s="88" t="str">
        <f>IF(ISERROR(VLOOKUP(1,$CS$113:$DJ$300,18,FALSE))=FALSE,TEXT(VLOOKUP(1,$CS$113:$DJ$300,18,FALSE)/$DJ$112,"0.0%"),"")</f>
        <v>19.6%</v>
      </c>
      <c s="131" t="str">
        <f>IF(ISERROR(VLOOKUP(1,$CS$113:$CV$300,4,FALSE))=FALSE,VLOOKUP(1,$CS$113:$CV$300,4,FALSE),"")</f>
        <v>Walmart Supercenter</v>
      </c>
      <c s="131"/>
      <c s="18"/>
      <c s="88" t="str">
        <f>IF(ISERROR(VLOOKUP(1,$CU$113:$DJ$300,16,FALSE))=FALSE,TEXT(VLOOKUP(1,$CU$113:$DJ$300,16,FALSE)/$DJ$112,"0.0%"),"")</f>
        <v>2.7%</v>
      </c>
      <c s="131" t="str">
        <f>IF(ISERROR(VLOOKUP(1,$CU$113:$CV$300,2,FALSE))=FALSE,VLOOKUP(1,$CU$113:$CV$300,2,FALSE),"")</f>
        <v>CVS</v>
      </c>
      <c s="131"/>
      <c s="50"/>
      <c s="42"/>
      <c r="AL36" s="104"/>
      <c r="CA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7" spans="1:138" s="43" customFormat="1" ht="11.25" customHeight="1">
      <c r="A37" s="40"/>
      <c s="41"/>
      <c s="40"/>
      <c s="86" t="str">
        <f>IF($Z$2&lt;&gt;"",IF(D36&lt;&gt;"",IF(VLOOKUP(1,$CE$113:$DZ$300,48,FALSE)&lt;&gt;"",IF(VLOOKUP(1,$CE$113:$DM$300,33,FALSE)/$DI$112-(VLOOKUP(1,$CE$113:$DM$300,33,FALSE)-VLOOKUP(1,$CE$113:$DZ$300,48,FALSE))/($DI$112-$DX$112)&gt;0,"+","")&amp;TEXT((VLOOKUP(1,$CE$113:$DM$300,33,FALSE)/$DI$112-(VLOOKUP(1,$CE$113:$DM$300,33,FALSE)-VLOOKUP(1,$CE$113:$DZ$300,48,FALSE))/($DI$112-$DX$112))*100,"0.0")&amp;"pts",""),""),"")</f>
        <v>+0.3pts</v>
      </c>
      <c s="131"/>
      <c s="131"/>
      <c s="16"/>
      <c s="86" t="str">
        <f>IF($Z$2&lt;&gt;"",IF(H36&lt;&gt;"",IF(VLOOKUP(1,$CG$113:$DZ$300,46,FALSE)&lt;&gt;"",IF(VLOOKUP(1,$CG$113:$DM$300,31,FALSE)/$DI$112-(VLOOKUP(1,$CG$113:$DM$300,31,FALSE)-VLOOKUP(1,$CG$113:$DZ$300,46,FALSE))/($DI$112-$DX$112)&gt;0,"+","")&amp;TEXT((VLOOKUP(1,$CG$113:$DM$300,31,FALSE)/$DI$112-(VLOOKUP(1,$CG$113:$DM$300,31,FALSE)-VLOOKUP(1,$CG$113:$DZ$300,46,FALSE))/($DI$112-$DX$112))*100,"0.0")&amp;"pts",""),""),"")</f>
        <v>+0.3pts</v>
      </c>
      <c s="131"/>
      <c s="131"/>
      <c s="17"/>
      <c s="86" t="str">
        <f>IF($Z$2&lt;&gt;"",IF(L36&lt;&gt;"",IF(VLOOKUP(1,$CI$113:$DZ$300,44,FALSE)&lt;&gt;"",IF(VLOOKUP(1,$CI$113:$DM$300,29,FALSE)/$DI$112-(VLOOKUP(1,$CI$113:$DM$300,29,FALSE)-VLOOKUP(1,$CI$113:$DZ$300,44,FALSE))/($DI$112-$DX$112)&gt;0,"+","")&amp;TEXT((VLOOKUP(1,$CI$113:$DM$300,29,FALSE)/$DI$112-(VLOOKUP(1,$CI$113:$DM$300,29,FALSE)-VLOOKUP(1,$CI$113:$DZ$300,44,FALSE))/($DI$112-$DX$112))*100,"0.0")&amp;"pts",""),""),"")</f>
        <v>+1.4pts</v>
      </c>
      <c s="131"/>
      <c s="131"/>
      <c s="17"/>
      <c s="86" t="str">
        <f>IF($Z$2&lt;&gt;"",IF(P36&lt;&gt;"",IF(VLOOKUP(1,$CK$113:$DZ$300,42,FALSE)&lt;&gt;"",IF(VLOOKUP(1,$CK$113:$DM$300,27,FALSE)/$DI$112-(VLOOKUP(1,$CK$113:$DM$300,27,FALSE)-VLOOKUP(1,$CK$113:$DZ$300,42,FALSE))/($DI$112-$DX$112)&gt;0,"+","")&amp;TEXT((VLOOKUP(1,$CK$113:$DM$300,27,FALSE)/$DI$112-(VLOOKUP(1,$CK$113:$DM$300,27,FALSE)-VLOOKUP(1,$CK$113:$DZ$300,42,FALSE))/($DI$112-$DX$112))*100,"0.0")&amp;"pts",""),""),"")</f>
        <v>-0.6pts</v>
      </c>
      <c s="131"/>
      <c s="131"/>
      <c s="61"/>
      <c s="86" t="str">
        <f>IF($Z$2&lt;&gt;"",IF(T36&lt;&gt;"",IF(VLOOKUP(1,$CO$113:$DZ$300,37,FALSE)&lt;&gt;"",IF(VLOOKUP(1,$CO$113:$DJ$300,22,FALSE)/$DJ$112-(VLOOKUP(1,$CO$113:$DJ$300,22,FALSE)-VLOOKUP(1,$CO$113:$DZ$300,37,FALSE))/($DJ$112-$DY$112)&gt;0,"+","")&amp;TEXT((VLOOKUP(1,$CO$113:$DJ$300,22,FALSE)/$DJ$112-(VLOOKUP(1,$CO$113:$DJ$300,22,FALSE)-VLOOKUP(1,$CO$113:$DZ$300,37,FALSE))/($DJ$112-$DY$112))*100,"0.0")&amp;"pts",""),""),"")</f>
        <v>+0.3pts</v>
      </c>
      <c s="131"/>
      <c s="131"/>
      <c s="16"/>
      <c s="86" t="str">
        <f>IF($Z$2&lt;&gt;"",IF(X36&lt;&gt;"",IF(VLOOKUP(1,$CQ$113:$DZ$300,35,FALSE)&lt;&gt;"",IF(VLOOKUP(1,$CQ$113:$DJ$300,20,FALSE)/$DJ$112-(VLOOKUP(1,$CQ$113:$DJ$300,20,FALSE)-VLOOKUP(1,$CQ$113:$DZ$300,35,FALSE))/($DJ$112-$DY$112)&gt;0,"+","")&amp;TEXT((VLOOKUP(1,$CQ$113:$DJ$300,20,FALSE)/$DJ$112-(VLOOKUP(1,$CQ$113:$DJ$300,20,FALSE)-VLOOKUP(1,$CQ$113:$DZ$300,35,FALSE))/($DJ$112-$DY$112))*100,"0.0")&amp;"pts",""),""),"")</f>
        <v>+0.0pts</v>
      </c>
      <c s="131"/>
      <c s="131"/>
      <c s="18"/>
      <c s="86" t="str">
        <f>IF($Z$2&lt;&gt;"",IF(AB36&lt;&gt;"",IF(VLOOKUP(1,$CS$113:$DZ$300,33,FALSE)&lt;&gt;"",IF(VLOOKUP(1,$CS$113:$DJ$300,18,FALSE)/$DJ$112-(VLOOKUP(1,$CS$113:$DJ$300,18,FALSE)-VLOOKUP(1,$CS$113:$DZ$300,33,FALSE))/($DJ$112-$DY$112)&gt;0,"+","")&amp;TEXT((VLOOKUP(1,$CS$113:$DJ$300,18,FALSE)/$DJ$112-(VLOOKUP(1,$CS$113:$DJ$300,18,FALSE)-VLOOKUP(1,$CS$113:$DZ$300,33,FALSE))/($DJ$112-$DY$112))*100,"0.0")&amp;"pts",""),""),"")</f>
        <v>+0.7pts</v>
      </c>
      <c s="131"/>
      <c s="131"/>
      <c s="18"/>
      <c s="86" t="str">
        <f>IF($Z$2&lt;&gt;"",IF(AF36&lt;&gt;"",IF(VLOOKUP(1,$CU$113:$DZ$300,31,FALSE)&lt;&gt;"",IF(VLOOKUP(1,$CU$113:$DJ$300,16,FALSE)/$DJ$112-(VLOOKUP(1,$CU$113:$DJ$300,16,FALSE)-VLOOKUP(1,$CU$113:$DZ$300,31,FALSE))/($DJ$112-$DY$112)&gt;0,"+","")&amp;TEXT((VLOOKUP(1,$CU$113:$DJ$300,16,FALSE)/$DJ$112-(VLOOKUP(1,$CU$113:$DJ$300,16,FALSE)-VLOOKUP(1,$CU$113:$DZ$300,31,FALSE))/($DJ$112-$DY$112))*100,"0.0")&amp;"pts",""),""),"")</f>
        <v>-0.2pts</v>
      </c>
      <c s="131"/>
      <c s="131"/>
      <c s="50"/>
      <c s="42"/>
      <c r="AL37" s="104"/>
      <c r="CA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8" spans="1:138" s="43" customFormat="1" ht="11.25" customHeight="1">
      <c r="A38" s="40"/>
      <c s="41"/>
      <c s="40"/>
      <c s="87" t="str">
        <f>IF($Z$1&lt;&gt;"",IF(D36&lt;&gt;"",TEXT(VLOOKUP(1,$CE$110:$DI$300,31,FALSE)/1000000,"$#,##0.0")&amp;"MM",""),"")</f>
        <v>$22.9MM</v>
      </c>
      <c s="131"/>
      <c s="131"/>
      <c s="16"/>
      <c s="87" t="str">
        <f>IF($Z$1&lt;&gt;"",IF(H36&lt;&gt;"",TEXT(VLOOKUP(1,$CG$110:$DI$300,29,FALSE)/1000000,"$#,##0.0")&amp;"MM",""),"")</f>
        <v>$63.1MM</v>
      </c>
      <c s="131"/>
      <c s="131"/>
      <c s="17"/>
      <c s="87" t="str">
        <f>IF($Z$1&lt;&gt;"",IF(L36&lt;&gt;"",TEXT(VLOOKUP(1,$CI$110:$DI$300,27,FALSE)/1000000,"$#,##0.0")&amp;"MM",""),"")</f>
        <v>$94.7MM</v>
      </c>
      <c s="131"/>
      <c s="131"/>
      <c s="17"/>
      <c s="87" t="str">
        <f>IF($Z$1&lt;&gt;"",IF(P36&lt;&gt;"",TEXT(VLOOKUP(1,$CK$110:$DI$300,25,FALSE)/1000000,"$#,##0.0")&amp;"MM",""),"")</f>
        <v>$25.8MM</v>
      </c>
      <c s="131"/>
      <c s="131"/>
      <c s="61"/>
      <c s="87" t="str">
        <f>IF($Z$1&lt;&gt;"",IF(T36&lt;&gt;"",TEXT(VLOOKUP(1,$CO$110:$DJ$300,22,FALSE)/1000000,"$#,##0.0")&amp;"MM",""),"")</f>
        <v>$83.2MM</v>
      </c>
      <c s="131"/>
      <c s="131"/>
      <c s="16"/>
      <c s="87" t="str">
        <f>IF($Z$1&lt;&gt;"",IF(X36&lt;&gt;"",TEXT(VLOOKUP(1,$CQ$110:$DJ$300,20,FALSE)/1000000,"$#,##0.0")&amp;"MM",""),"")</f>
        <v>$194.2MM</v>
      </c>
      <c s="131"/>
      <c s="131"/>
      <c s="18"/>
      <c s="87" t="str">
        <f>IF($Z$1&lt;&gt;"",IF(AB36&lt;&gt;"",TEXT(VLOOKUP(1,$CS$110:$DJ$300,18,FALSE)/1000000,"$#,##0.0")&amp;"MM",""),"")</f>
        <v>$353.3MM</v>
      </c>
      <c s="131"/>
      <c s="131"/>
      <c s="18"/>
      <c s="87" t="str">
        <f>IF($Z$1&lt;&gt;"",IF(AF36&lt;&gt;"",TEXT(VLOOKUP(1,$CU$110:$DJ$300,16,FALSE)/1000000,"$#,##0.0")&amp;"MM",""),"")</f>
        <v>$49.5MM</v>
      </c>
      <c s="131"/>
      <c s="131"/>
      <c s="50"/>
      <c s="42"/>
      <c r="AL38" s="84"/>
      <c r="CA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39" spans="1:138" s="43" customFormat="1" ht="11.25" customHeight="1">
      <c r="A39" s="40"/>
      <c s="41"/>
      <c s="40"/>
      <c s="88" t="str">
        <f>IF(ISERROR(VLOOKUP(2,$CE$113:$DM$300,33,FALSE))=FALSE,TEXT(VLOOKUP(2,$CE$113:$DM$300,33,FALSE)/$DI$112,"0.0%"),"")</f>
        <v>2.0%</v>
      </c>
      <c s="131" t="str">
        <f>IF(ISERROR(VLOOKUP(2,$CE$113:$CV$300,18,FALSE))=FALSE,VLOOKUP(2,$CE$113:$CV$300,18,FALSE),"")</f>
        <v>Publix</v>
      </c>
      <c s="131"/>
      <c s="16"/>
      <c s="88" t="str">
        <f>IF(ISERROR(VLOOKUP(2,$CG$113:$DM$300,31,FALSE))=FALSE,TEXT(VLOOKUP(2,$CG$113:$DM$300,31,FALSE)/$DI$112,"0.0%"),"")</f>
        <v>5.0%</v>
      </c>
      <c s="131" t="str">
        <f>IF(ISERROR(VLOOKUP(2,$CG$113:$CV$300,16,FALSE))=FALSE,VLOOKUP(2,$CG$113:$CV$300,16,FALSE),"")</f>
        <v>Sams Club</v>
      </c>
      <c s="131"/>
      <c s="17"/>
      <c s="88" t="str">
        <f>IF(ISERROR(VLOOKUP(2,$CI$113:$DM$300,29,FALSE))=FALSE,TEXT(VLOOKUP(2,$CI$113:$DM$300,29,FALSE)/$DI$112,"0.0%"),"")</f>
        <v>2.5%</v>
      </c>
      <c s="131" t="str">
        <f>IF(ISERROR(VLOOKUP(2,$CI$113:$CV$300,14,FALSE))=FALSE,VLOOKUP(2,$CI$113:$CV$300,14,FALSE),"")</f>
        <v>Walmart Division 1</v>
      </c>
      <c s="131"/>
      <c s="17"/>
      <c s="88" t="str">
        <f>IF(ISERROR(VLOOKUP(2,$CK$113:$DM$300,27,FALSE))=FALSE,TEXT(VLOOKUP(2,$CK$113:$DM$300,27,FALSE)/$DI$112,"0.0%"),"")</f>
        <v>1.8%</v>
      </c>
      <c s="131" t="str">
        <f>IF(ISERROR(VLOOKUP(2,$CK$113:$CV$300,12,FALSE))=FALSE,VLOOKUP(2,$CK$113:$CV$300,12,FALSE),"")</f>
        <v>Walgreens</v>
      </c>
      <c s="131"/>
      <c s="61"/>
      <c s="88" t="str">
        <f>IF(ISERROR(VLOOKUP(2,$CO$113:$DJ$300,22,FALSE))=FALSE,TEXT(VLOOKUP(2,$CO$113:$DJ$300,22,FALSE)/$DJ$112,"0.0%"),"")</f>
        <v>2.8%</v>
      </c>
      <c s="131" t="str">
        <f>IF(ISERROR(VLOOKUP(2,$CO$113:$CV$300,8,FALSE))=FALSE,VLOOKUP(2,$CO$113:$CV$300,8,FALSE),"")</f>
        <v>Shop Rite</v>
      </c>
      <c s="131"/>
      <c s="16"/>
      <c s="88" t="str">
        <f>IF(ISERROR(VLOOKUP(2,$CQ$113:$DJ$300,20,FALSE))=FALSE,TEXT(VLOOKUP(2,$CQ$113:$DJ$300,20,FALSE)/$DJ$112,"0.0%"),"")</f>
        <v>8.6%</v>
      </c>
      <c s="131" t="str">
        <f>IF(ISERROR(VLOOKUP(2,$CQ$113:$CV$300,6,FALSE))=FALSE,VLOOKUP(2,$CQ$113:$CV$300,6,FALSE),"")</f>
        <v>Sams Club</v>
      </c>
      <c s="131"/>
      <c s="18"/>
      <c s="88" t="str">
        <f>IF(ISERROR(VLOOKUP(2,$CS$113:$DJ$300,18,FALSE))=FALSE,TEXT(VLOOKUP(2,$CS$113:$DJ$300,18,FALSE)/$DJ$112,"0.0%"),"")</f>
        <v>2.8%</v>
      </c>
      <c s="131" t="str">
        <f>IF(ISERROR(VLOOKUP(2,$CS$113:$CV$300,4,FALSE))=FALSE,VLOOKUP(2,$CS$113:$CV$300,4,FALSE),"")</f>
        <v>Walmart Division 1</v>
      </c>
      <c s="131"/>
      <c s="18"/>
      <c s="88" t="str">
        <f>IF(ISERROR(VLOOKUP(2,$CU$113:$DJ$300,16,FALSE))=FALSE,TEXT(VLOOKUP(2,$CU$113:$DJ$300,16,FALSE)/$DJ$112,"0.0%"),"")</f>
        <v>2.5%</v>
      </c>
      <c s="131" t="str">
        <f>IF(ISERROR(VLOOKUP(2,$CU$113:$CV$300,2,FALSE))=FALSE,VLOOKUP(2,$CU$113:$CV$300,2,FALSE),"")</f>
        <v>Doll Gen / Doll Gen Mkt</v>
      </c>
      <c s="131"/>
      <c s="50"/>
      <c s="42"/>
      <c r="CA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0" spans="1:138" s="43" customFormat="1" ht="11.25" customHeight="1">
      <c r="A40" s="40"/>
      <c s="41"/>
      <c s="40"/>
      <c s="86" t="str">
        <f>IF($Z$2&lt;&gt;"",IF(D39&lt;&gt;"",IF(VLOOKUP(2,$CE$113:$DZ$300,48,FALSE)&lt;&gt;"",IF(VLOOKUP(2,$CE$113:$DM$300,33,FALSE)/$DI$112-(VLOOKUP(2,$CE$113:$DM$300,33,FALSE)-VLOOKUP(2,$CE$113:$DZ$300,48,FALSE))/($DI$112-$DX$112)&gt;0,"+","")&amp;TEXT((VLOOKUP(2,$CE$113:$DM$300,33,FALSE)/$DI$112-(VLOOKUP(2,$CE$113:$DM$300,33,FALSE)-VLOOKUP(2,$CE$113:$DZ$300,48,FALSE))/($DI$112-$DX$112))*100,"0.0")&amp;"pts",""),""),"")</f>
        <v>+0.0pts</v>
      </c>
      <c s="131"/>
      <c s="131"/>
      <c s="16"/>
      <c s="86" t="str">
        <f>IF($Z$2&lt;&gt;"",IF(H39&lt;&gt;"",IF(VLOOKUP(2,$CG$113:$DZ$300,46,FALSE)&lt;&gt;"",IF(VLOOKUP(2,$CG$113:$DM$300,31,FALSE)/$DI$112-(VLOOKUP(2,$CG$113:$DM$300,31,FALSE)-VLOOKUP(2,$CG$113:$DZ$300,46,FALSE))/($DI$112-$DX$112)&gt;0,"+","")&amp;TEXT((VLOOKUP(2,$CG$113:$DM$300,31,FALSE)/$DI$112-(VLOOKUP(2,$CG$113:$DM$300,31,FALSE)-VLOOKUP(2,$CG$113:$DZ$300,46,FALSE))/($DI$112-$DX$112))*100,"0.0")&amp;"pts",""),""),"")</f>
        <v>-0.6pts</v>
      </c>
      <c s="131"/>
      <c s="131"/>
      <c s="17"/>
      <c s="86" t="str">
        <f>IF($Z$2&lt;&gt;"",IF(L39&lt;&gt;"",IF(VLOOKUP(2,$CI$113:$DZ$300,44,FALSE)&lt;&gt;"",IF(VLOOKUP(2,$CI$113:$DM$300,29,FALSE)/$DI$112-(VLOOKUP(2,$CI$113:$DM$300,29,FALSE)-VLOOKUP(2,$CI$113:$DZ$300,44,FALSE))/($DI$112-$DX$112)&gt;0,"+","")&amp;TEXT((VLOOKUP(2,$CI$113:$DM$300,29,FALSE)/$DI$112-(VLOOKUP(2,$CI$113:$DM$300,29,FALSE)-VLOOKUP(2,$CI$113:$DZ$300,44,FALSE))/($DI$112-$DX$112))*100,"0.0")&amp;"pts",""),""),"")</f>
        <v>+0.3pts</v>
      </c>
      <c s="131"/>
      <c s="131"/>
      <c s="17"/>
      <c s="86" t="str">
        <f>IF($Z$2&lt;&gt;"",IF(P39&lt;&gt;"",IF(VLOOKUP(2,$CK$113:$DZ$300,42,FALSE)&lt;&gt;"",IF(VLOOKUP(2,$CK$113:$DM$300,27,FALSE)/$DI$112-(VLOOKUP(2,$CK$113:$DM$300,27,FALSE)-VLOOKUP(2,$CK$113:$DZ$300,42,FALSE))/($DI$112-$DX$112)&gt;0,"+","")&amp;TEXT((VLOOKUP(2,$CK$113:$DM$300,27,FALSE)/$DI$112-(VLOOKUP(2,$CK$113:$DM$300,27,FALSE)-VLOOKUP(2,$CK$113:$DZ$300,42,FALSE))/($DI$112-$DX$112))*100,"0.0")&amp;"pts",""),""),"")</f>
        <v>-0.3pts</v>
      </c>
      <c s="131"/>
      <c s="131"/>
      <c s="61"/>
      <c s="86" t="str">
        <f>IF($Z$2&lt;&gt;"",IF(T39&lt;&gt;"",IF(VLOOKUP(2,$CO$113:$DZ$300,37,FALSE)&lt;&gt;"",IF(VLOOKUP(2,$CO$113:$DJ$300,22,FALSE)/$DJ$112-(VLOOKUP(2,$CO$113:$DJ$300,22,FALSE)-VLOOKUP(2,$CO$113:$DZ$300,37,FALSE))/($DJ$112-$DY$112)&gt;0,"+","")&amp;TEXT((VLOOKUP(2,$CO$113:$DJ$300,22,FALSE)/$DJ$112-(VLOOKUP(2,$CO$113:$DJ$300,22,FALSE)-VLOOKUP(2,$CO$113:$DZ$300,37,FALSE))/($DJ$112-$DY$112))*100,"0.0")&amp;"pts",""),""),"")</f>
        <v>-0.4pts</v>
      </c>
      <c s="131"/>
      <c s="131"/>
      <c s="16"/>
      <c s="86" t="str">
        <f>IF($Z$2&lt;&gt;"",IF(X39&lt;&gt;"",IF(VLOOKUP(2,$CQ$113:$DZ$300,35,FALSE)&lt;&gt;"",IF(VLOOKUP(2,$CQ$113:$DJ$300,20,FALSE)/$DJ$112-(VLOOKUP(2,$CQ$113:$DJ$300,20,FALSE)-VLOOKUP(2,$CQ$113:$DZ$300,35,FALSE))/($DJ$112-$DY$112)&gt;0,"+","")&amp;TEXT((VLOOKUP(2,$CQ$113:$DJ$300,20,FALSE)/$DJ$112-(VLOOKUP(2,$CQ$113:$DJ$300,20,FALSE)-VLOOKUP(2,$CQ$113:$DZ$300,35,FALSE))/($DJ$112-$DY$112))*100,"0.0")&amp;"pts",""),""),"")</f>
        <v>+0.1pts</v>
      </c>
      <c s="131"/>
      <c s="131"/>
      <c s="18"/>
      <c s="86" t="str">
        <f>IF($Z$2&lt;&gt;"",IF(AB39&lt;&gt;"",IF(VLOOKUP(2,$CS$113:$DZ$300,33,FALSE)&lt;&gt;"",IF(VLOOKUP(2,$CS$113:$DJ$300,18,FALSE)/$DJ$112-(VLOOKUP(2,$CS$113:$DJ$300,18,FALSE)-VLOOKUP(2,$CS$113:$DZ$300,33,FALSE))/($DJ$112-$DY$112)&gt;0,"+","")&amp;TEXT((VLOOKUP(2,$CS$113:$DJ$300,18,FALSE)/$DJ$112-(VLOOKUP(2,$CS$113:$DJ$300,18,FALSE)-VLOOKUP(2,$CS$113:$DZ$300,33,FALSE))/($DJ$112-$DY$112))*100,"0.0")&amp;"pts",""),""),"")</f>
        <v>+0.6pts</v>
      </c>
      <c s="131"/>
      <c s="131"/>
      <c s="18"/>
      <c s="86" t="str">
        <f>IF($Z$2&lt;&gt;"",IF(AF39&lt;&gt;"",IF(VLOOKUP(2,$CU$113:$DZ$300,31,FALSE)&lt;&gt;"",IF(VLOOKUP(2,$CU$113:$DJ$300,16,FALSE)/$DJ$112-(VLOOKUP(2,$CU$113:$DJ$300,16,FALSE)-VLOOKUP(2,$CU$113:$DZ$300,31,FALSE))/($DJ$112-$DY$112)&gt;0,"+","")&amp;TEXT((VLOOKUP(2,$CU$113:$DJ$300,16,FALSE)/$DJ$112-(VLOOKUP(2,$CU$113:$DJ$300,16,FALSE)-VLOOKUP(2,$CU$113:$DZ$300,31,FALSE))/($DJ$112-$DY$112))*100,"0.0")&amp;"pts",""),""),"")</f>
        <v>-0.1pts</v>
      </c>
      <c s="131"/>
      <c s="131"/>
      <c s="50"/>
      <c s="42"/>
      <c r="CA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1" spans="1:138" s="43" customFormat="1" ht="11.25" customHeight="1">
      <c r="A41" s="40"/>
      <c s="41"/>
      <c s="40"/>
      <c s="87" t="str">
        <f>IF($Z$1&lt;&gt;"",IF(D39&lt;&gt;"",TEXT(VLOOKUP(2,$CE$110:$DI$300,31,FALSE)/1000000,"$#,##0.0")&amp;"MM",""),"")</f>
        <v>$15.4MM</v>
      </c>
      <c s="131"/>
      <c s="131"/>
      <c s="16"/>
      <c s="87" t="str">
        <f>IF($Z$1&lt;&gt;"",IF(H39&lt;&gt;"",TEXT(VLOOKUP(2,$CG$110:$DI$300,29,FALSE)/1000000,"$#,##0.0")&amp;"MM",""),"")</f>
        <v>$38.8MM</v>
      </c>
      <c s="131"/>
      <c s="131"/>
      <c s="17"/>
      <c s="87" t="str">
        <f>IF($Z$1&lt;&gt;"",IF(L39&lt;&gt;"",TEXT(VLOOKUP(2,$CI$110:$DI$300,27,FALSE)/1000000,"$#,##0.0")&amp;"MM",""),"")</f>
        <v>$19.7MM</v>
      </c>
      <c s="131"/>
      <c s="131"/>
      <c s="17"/>
      <c s="87" t="str">
        <f>IF($Z$1&lt;&gt;"",IF(P39&lt;&gt;"",TEXT(VLOOKUP(2,$CK$110:$DI$300,25,FALSE)/1000000,"$#,##0.0")&amp;"MM",""),"")</f>
        <v>$14.2MM</v>
      </c>
      <c s="131"/>
      <c s="131"/>
      <c s="61"/>
      <c s="87" t="str">
        <f>IF($Z$1&lt;&gt;"",IF(T39&lt;&gt;"",TEXT(VLOOKUP(2,$CO$110:$DJ$300,22,FALSE)/1000000,"$#,##0.0")&amp;"MM",""),"")</f>
        <v>$49.9MM</v>
      </c>
      <c s="131"/>
      <c s="131"/>
      <c s="16"/>
      <c s="87" t="str">
        <f>IF($Z$1&lt;&gt;"",IF(X39&lt;&gt;"",TEXT(VLOOKUP(2,$CQ$110:$DJ$300,20,FALSE)/1000000,"$#,##0.0")&amp;"MM",""),"")</f>
        <v>$155.7MM</v>
      </c>
      <c s="131"/>
      <c s="131"/>
      <c s="18"/>
      <c s="87" t="str">
        <f>IF($Z$1&lt;&gt;"",IF(AB39&lt;&gt;"",TEXT(VLOOKUP(2,$CS$110:$DJ$300,18,FALSE)/1000000,"$#,##0.0")&amp;"MM",""),"")</f>
        <v>$51.4MM</v>
      </c>
      <c s="131"/>
      <c s="131"/>
      <c s="18"/>
      <c s="87" t="str">
        <f>IF($Z$1&lt;&gt;"",IF(AF39&lt;&gt;"",TEXT(VLOOKUP(2,$CU$110:$DJ$300,16,FALSE)/1000000,"$#,##0.0")&amp;"MM",""),"")</f>
        <v>$44.8MM</v>
      </c>
      <c s="131"/>
      <c s="131"/>
      <c s="50"/>
      <c s="42"/>
      <c r="CA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2" spans="1:138" s="43" customFormat="1" ht="11.25" customHeight="1">
      <c r="A42" s="40"/>
      <c s="41"/>
      <c s="40"/>
      <c s="88" t="str">
        <f>IF(ISERROR(VLOOKUP(3,$CE$113:$DM$300,33,FALSE))=FALSE,TEXT(VLOOKUP(3,$CE$113:$DM$300,33,FALSE)/$DI$112,"0.0%"),"")</f>
        <v>1.1%</v>
      </c>
      <c s="131" t="str">
        <f>IF(ISERROR(VLOOKUP(3,$CE$113:$CV$300,18,FALSE))=FALSE,VLOOKUP(3,$CE$113:$CV$300,18,FALSE),"")</f>
        <v>Shop Rite</v>
      </c>
      <c s="131"/>
      <c s="16"/>
      <c s="88" t="str">
        <f>IF(ISERROR(VLOOKUP(3,$CG$113:$DM$300,31,FALSE))=FALSE,TEXT(VLOOKUP(3,$CG$113:$DM$300,31,FALSE)/$DI$112,"0.0%"),"")</f>
        <v>2.9%</v>
      </c>
      <c s="131" t="str">
        <f>IF(ISERROR(VLOOKUP(3,$CG$113:$CV$300,16,FALSE))=FALSE,VLOOKUP(3,$CG$113:$CV$300,16,FALSE),"")</f>
        <v>BJs Wholesale</v>
      </c>
      <c s="131"/>
      <c s="17"/>
      <c s="88" t="str">
        <f>IF(ISERROR(VLOOKUP(3,$CI$113:$DM$300,29,FALSE))=FALSE,TEXT(VLOOKUP(3,$CI$113:$DM$300,29,FALSE)/$DI$112,"0.0%"),"")</f>
        <v>0.8%</v>
      </c>
      <c s="131" t="str">
        <f>IF(ISERROR(VLOOKUP(3,$CI$113:$CV$300,14,FALSE))=FALSE,VLOOKUP(3,$CI$113:$CV$300,14,FALSE),"")</f>
        <v>Walmart Neighborhood Market</v>
      </c>
      <c s="131"/>
      <c s="17"/>
      <c s="88" t="str">
        <f>IF(ISERROR(VLOOKUP(3,$CK$113:$DM$300,27,FALSE))=FALSE,TEXT(VLOOKUP(3,$CK$113:$DM$300,27,FALSE)/$DI$112,"0.0%"),"")</f>
        <v>1.4%</v>
      </c>
      <c s="131" t="str">
        <f>IF(ISERROR(VLOOKUP(3,$CK$113:$CV$300,12,FALSE))=FALSE,VLOOKUP(3,$CK$113:$CV$300,12,FALSE),"")</f>
        <v>Doll Gen / Doll Gen Mkt</v>
      </c>
      <c s="131"/>
      <c s="61"/>
      <c s="88" t="str">
        <f>IF(ISERROR(VLOOKUP(3,$CO$113:$DJ$300,22,FALSE))=FALSE,TEXT(VLOOKUP(3,$CO$113:$DJ$300,22,FALSE)/$DJ$112,"0.0%"),"")</f>
        <v>2.2%</v>
      </c>
      <c s="131" t="str">
        <f>IF(ISERROR(VLOOKUP(3,$CO$113:$CV$300,8,FALSE))=FALSE,VLOOKUP(3,$CO$113:$CV$300,8,FALSE),"")</f>
        <v>Meijer</v>
      </c>
      <c s="131"/>
      <c s="16"/>
      <c s="88" t="str">
        <f>IF(ISERROR(VLOOKUP(3,$CQ$113:$DJ$300,20,FALSE))=FALSE,TEXT(VLOOKUP(3,$CQ$113:$DJ$300,20,FALSE)/$DJ$112,"0.0%"),"")</f>
        <v>4.1%</v>
      </c>
      <c s="131" t="str">
        <f>IF(ISERROR(VLOOKUP(3,$CQ$113:$CV$300,6,FALSE))=FALSE,VLOOKUP(3,$CQ$113:$CV$300,6,FALSE),"")</f>
        <v>BJs Wholesale</v>
      </c>
      <c s="131"/>
      <c s="18"/>
      <c s="88" t="str">
        <f>IF(ISERROR(VLOOKUP(3,$CS$113:$DJ$300,18,FALSE))=FALSE,TEXT(VLOOKUP(3,$CS$113:$DJ$300,18,FALSE)/$DJ$112,"0.0%"),"")</f>
        <v>1.1%</v>
      </c>
      <c s="131" t="str">
        <f>IF(ISERROR(VLOOKUP(3,$CS$113:$CV$300,4,FALSE))=FALSE,VLOOKUP(3,$CS$113:$CV$300,4,FALSE),"")</f>
        <v>Walmart Neighborhood Market</v>
      </c>
      <c s="131"/>
      <c s="18"/>
      <c s="88" t="str">
        <f>IF(ISERROR(VLOOKUP(3,$CU$113:$DJ$300,16,FALSE))=FALSE,TEXT(VLOOKUP(3,$CU$113:$DJ$300,16,FALSE)/$DJ$112,"0.0%"),"")</f>
        <v>2.1%</v>
      </c>
      <c s="131" t="str">
        <f>IF(ISERROR(VLOOKUP(3,$CU$113:$CV$300,2,FALSE))=FALSE,VLOOKUP(3,$CU$113:$CV$300,2,FALSE),"")</f>
        <v>Walgreens</v>
      </c>
      <c s="131"/>
      <c s="50"/>
      <c s="42"/>
      <c r="CA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3" spans="1:138" s="43" customFormat="1" ht="11.25" customHeight="1">
      <c r="A43" s="40"/>
      <c s="41"/>
      <c s="40"/>
      <c s="86" t="str">
        <f>IF($Z$2&lt;&gt;"",IF(D42&lt;&gt;"",IF(VLOOKUP(3,$CE$113:$DZ$300,48,FALSE)&lt;&gt;"",IF(VLOOKUP(3,$CE$113:$DM$300,33,FALSE)/$DI$112-(VLOOKUP(3,$CE$113:$DM$300,33,FALSE)-VLOOKUP(3,$CE$113:$DZ$300,48,FALSE))/($DI$112-$DX$112)&gt;0,"+","")&amp;TEXT((VLOOKUP(3,$CE$113:$DM$300,33,FALSE)/$DI$112-(VLOOKUP(3,$CE$113:$DM$300,33,FALSE)-VLOOKUP(3,$CE$113:$DZ$300,48,FALSE))/($DI$112-$DX$112))*100,"0.0")&amp;"pts",""),""),"")</f>
        <v>-0.2pts</v>
      </c>
      <c s="131"/>
      <c s="131"/>
      <c s="16"/>
      <c s="86" t="str">
        <f>IF($Z$2&lt;&gt;"",IF(H42&lt;&gt;"",IF(VLOOKUP(3,$CG$113:$DZ$300,46,FALSE)&lt;&gt;"",IF(VLOOKUP(3,$CG$113:$DM$300,31,FALSE)/$DI$112-(VLOOKUP(3,$CG$113:$DM$300,31,FALSE)-VLOOKUP(3,$CG$113:$DZ$300,46,FALSE))/($DI$112-$DX$112)&gt;0,"+","")&amp;TEXT((VLOOKUP(3,$CG$113:$DM$300,31,FALSE)/$DI$112-(VLOOKUP(3,$CG$113:$DM$300,31,FALSE)-VLOOKUP(3,$CG$113:$DZ$300,46,FALSE))/($DI$112-$DX$112))*100,"0.0")&amp;"pts",""),""),"")</f>
        <v>+0.7pts</v>
      </c>
      <c s="131"/>
      <c s="131"/>
      <c s="17"/>
      <c s="86" t="str">
        <f>IF($Z$2&lt;&gt;"",IF(L42&lt;&gt;"",IF(VLOOKUP(3,$CI$113:$DZ$300,44,FALSE)&lt;&gt;"",IF(VLOOKUP(3,$CI$113:$DM$300,29,FALSE)/$DI$112-(VLOOKUP(3,$CI$113:$DM$300,29,FALSE)-VLOOKUP(3,$CI$113:$DZ$300,44,FALSE))/($DI$112-$DX$112)&gt;0,"+","")&amp;TEXT((VLOOKUP(3,$CI$113:$DM$300,29,FALSE)/$DI$112-(VLOOKUP(3,$CI$113:$DM$300,29,FALSE)-VLOOKUP(3,$CI$113:$DZ$300,44,FALSE))/($DI$112-$DX$112))*100,"0.0")&amp;"pts",""),""),"")</f>
        <v>+0.3pts</v>
      </c>
      <c s="131"/>
      <c s="131"/>
      <c s="17"/>
      <c s="86" t="str">
        <f>IF($Z$2&lt;&gt;"",IF(P42&lt;&gt;"",IF(VLOOKUP(3,$CK$113:$DZ$300,42,FALSE)&lt;&gt;"",IF(VLOOKUP(3,$CK$113:$DM$300,27,FALSE)/$DI$112-(VLOOKUP(3,$CK$113:$DM$300,27,FALSE)-VLOOKUP(3,$CK$113:$DZ$300,42,FALSE))/($DI$112-$DX$112)&gt;0,"+","")&amp;TEXT((VLOOKUP(3,$CK$113:$DM$300,27,FALSE)/$DI$112-(VLOOKUP(3,$CK$113:$DM$300,27,FALSE)-VLOOKUP(3,$CK$113:$DZ$300,42,FALSE))/($DI$112-$DX$112))*100,"0.0")&amp;"pts",""),""),"")</f>
        <v>+0.0pts</v>
      </c>
      <c s="131"/>
      <c s="131"/>
      <c s="61"/>
      <c s="86" t="str">
        <f>IF($Z$2&lt;&gt;"",IF(T42&lt;&gt;"",IF(VLOOKUP(3,$CO$113:$DZ$300,37,FALSE)&lt;&gt;"",IF(VLOOKUP(3,$CO$113:$DJ$300,22,FALSE)/$DJ$112-(VLOOKUP(3,$CO$113:$DJ$300,22,FALSE)-VLOOKUP(3,$CO$113:$DZ$300,37,FALSE))/($DJ$112-$DY$112)&gt;0,"+","")&amp;TEXT((VLOOKUP(3,$CO$113:$DJ$300,22,FALSE)/$DJ$112-(VLOOKUP(3,$CO$113:$DJ$300,22,FALSE)-VLOOKUP(3,$CO$113:$DZ$300,37,FALSE))/($DJ$112-$DY$112))*100,"0.0")&amp;"pts",""),""),"")</f>
        <v>+0.2pts</v>
      </c>
      <c s="131"/>
      <c s="131"/>
      <c s="16"/>
      <c s="86" t="str">
        <f>IF($Z$2&lt;&gt;"",IF(X42&lt;&gt;"",IF(VLOOKUP(3,$CQ$113:$DZ$300,35,FALSE)&lt;&gt;"",IF(VLOOKUP(3,$CQ$113:$DJ$300,20,FALSE)/$DJ$112-(VLOOKUP(3,$CQ$113:$DJ$300,20,FALSE)-VLOOKUP(3,$CQ$113:$DZ$300,35,FALSE))/($DJ$112-$DY$112)&gt;0,"+","")&amp;TEXT((VLOOKUP(3,$CQ$113:$DJ$300,20,FALSE)/$DJ$112-(VLOOKUP(3,$CQ$113:$DJ$300,20,FALSE)-VLOOKUP(3,$CQ$113:$DZ$300,35,FALSE))/($DJ$112-$DY$112))*100,"0.0")&amp;"pts",""),""),"")</f>
        <v>+0.3pts</v>
      </c>
      <c s="131"/>
      <c s="131"/>
      <c s="18"/>
      <c s="86" t="str">
        <f>IF($Z$2&lt;&gt;"",IF(AB42&lt;&gt;"",IF(VLOOKUP(3,$CS$113:$DZ$300,33,FALSE)&lt;&gt;"",IF(VLOOKUP(3,$CS$113:$DJ$300,18,FALSE)/$DJ$112-(VLOOKUP(3,$CS$113:$DJ$300,18,FALSE)-VLOOKUP(3,$CS$113:$DZ$300,33,FALSE))/($DJ$112-$DY$112)&gt;0,"+","")&amp;TEXT((VLOOKUP(3,$CS$113:$DJ$300,18,FALSE)/$DJ$112-(VLOOKUP(3,$CS$113:$DJ$300,18,FALSE)-VLOOKUP(3,$CS$113:$DZ$300,33,FALSE))/($DJ$112-$DY$112))*100,"0.0")&amp;"pts",""),""),"")</f>
        <v>+0.3pts</v>
      </c>
      <c s="131"/>
      <c s="131"/>
      <c s="18"/>
      <c s="86" t="str">
        <f>IF($Z$2&lt;&gt;"",IF(AF42&lt;&gt;"",IF(VLOOKUP(3,$CU$113:$DZ$300,31,FALSE)&lt;&gt;"",IF(VLOOKUP(3,$CU$113:$DJ$300,16,FALSE)/$DJ$112-(VLOOKUP(3,$CU$113:$DJ$300,16,FALSE)-VLOOKUP(3,$CU$113:$DZ$300,31,FALSE))/($DJ$112-$DY$112)&gt;0,"+","")&amp;TEXT((VLOOKUP(3,$CU$113:$DJ$300,16,FALSE)/$DJ$112-(VLOOKUP(3,$CU$113:$DJ$300,16,FALSE)-VLOOKUP(3,$CU$113:$DZ$300,31,FALSE))/($DJ$112-$DY$112))*100,"0.0")&amp;"pts",""),""),"")</f>
        <v>+0.2pts</v>
      </c>
      <c s="131"/>
      <c s="131"/>
      <c s="50"/>
      <c s="42"/>
      <c r="CA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4" spans="1:138" s="43" customFormat="1" ht="11.25" customHeight="1">
      <c r="A44" s="40"/>
      <c s="41"/>
      <c s="40"/>
      <c s="87" t="str">
        <f>IF($Z$1&lt;&gt;"",IF(D42&lt;&gt;"",TEXT(VLOOKUP(3,$CE$110:$DI$300,31,FALSE)/1000000,"$#,##0.0")&amp;"MM",""),"")</f>
        <v>$8.9MM</v>
      </c>
      <c s="131"/>
      <c s="131"/>
      <c s="16"/>
      <c s="87" t="str">
        <f>IF($Z$1&lt;&gt;"",IF(H42&lt;&gt;"",TEXT(VLOOKUP(3,$CG$110:$DI$300,29,FALSE)/1000000,"$#,##0.0")&amp;"MM",""),"")</f>
        <v>$22.7MM</v>
      </c>
      <c s="131"/>
      <c s="131"/>
      <c s="17"/>
      <c s="87" t="str">
        <f>IF($Z$1&lt;&gt;"",IF(L42&lt;&gt;"",TEXT(VLOOKUP(3,$CI$110:$DI$300,27,FALSE)/1000000,"$#,##0.0")&amp;"MM",""),"")</f>
        <v>$6.3MM</v>
      </c>
      <c s="131"/>
      <c s="131"/>
      <c s="17"/>
      <c s="87" t="str">
        <f>IF($Z$1&lt;&gt;"",IF(P42&lt;&gt;"",TEXT(VLOOKUP(3,$CK$110:$DI$300,25,FALSE)/1000000,"$#,##0.0")&amp;"MM",""),"")</f>
        <v>$11.3MM</v>
      </c>
      <c s="131"/>
      <c s="131"/>
      <c s="61"/>
      <c s="87" t="str">
        <f>IF($Z$1&lt;&gt;"",IF(T42&lt;&gt;"",TEXT(VLOOKUP(3,$CO$110:$DJ$300,22,FALSE)/1000000,"$#,##0.0")&amp;"MM",""),"")</f>
        <v>$40.0MM</v>
      </c>
      <c s="131"/>
      <c s="131"/>
      <c s="16"/>
      <c s="87" t="str">
        <f>IF($Z$1&lt;&gt;"",IF(X42&lt;&gt;"",TEXT(VLOOKUP(3,$CQ$110:$DJ$300,20,FALSE)/1000000,"$#,##0.0")&amp;"MM",""),"")</f>
        <v>$74.1MM</v>
      </c>
      <c s="131"/>
      <c s="131"/>
      <c s="18"/>
      <c s="87" t="str">
        <f>IF($Z$1&lt;&gt;"",IF(AB42&lt;&gt;"",TEXT(VLOOKUP(3,$CS$110:$DJ$300,18,FALSE)/1000000,"$#,##0.0")&amp;"MM",""),"")</f>
        <v>$20.3MM</v>
      </c>
      <c s="131"/>
      <c s="131"/>
      <c s="18"/>
      <c s="87" t="str">
        <f>IF($Z$1&lt;&gt;"",IF(AF42&lt;&gt;"",TEXT(VLOOKUP(3,$CU$110:$DJ$300,16,FALSE)/1000000,"$#,##0.0")&amp;"MM",""),"")</f>
        <v>$38.6MM</v>
      </c>
      <c s="131"/>
      <c s="131"/>
      <c s="50"/>
      <c s="42"/>
      <c r="CA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5" spans="1:138" s="43" customFormat="1" ht="11.25" customHeight="1">
      <c r="A45" s="40"/>
      <c s="41"/>
      <c s="40"/>
      <c s="88" t="str">
        <f>IF(ISERROR(VLOOKUP(4,$CE$113:$DM$300,33,FALSE))=FALSE,TEXT(VLOOKUP(4,$CE$113:$DM$300,33,FALSE)/$DI$112,"0.0%"),"")</f>
        <v>0.9%</v>
      </c>
      <c s="131" t="str">
        <f>IF(ISERROR(VLOOKUP(4,$CE$113:$CV$300,18,FALSE))=FALSE,VLOOKUP(4,$CE$113:$CV$300,18,FALSE),"")</f>
        <v>Meijer</v>
      </c>
      <c s="131"/>
      <c s="16"/>
      <c s="88">
        <f>IF(ISERROR(VLOOKUP(4,$CG$113:$DM$300,31,FALSE))=FALSE,TEXT(VLOOKUP(4,$CG$113:$DM$300,31,FALSE)/$DI$112,"0.0%"),"")</f>
      </c>
      <c s="131">
        <f>IF(ISERROR(VLOOKUP(4,$CG$113:$CV$300,16,FALSE))=FALSE,VLOOKUP(4,$CG$113:$CV$300,16,FALSE),"")</f>
      </c>
      <c s="131"/>
      <c s="17"/>
      <c s="88">
        <f>IF(ISERROR(VLOOKUP(4,$CI$113:$DM$300,29,FALSE))=FALSE,TEXT(VLOOKUP(4,$CI$113:$DM$300,29,FALSE)/$DI$112,"0.0%"),"")</f>
      </c>
      <c s="131">
        <f>IF(ISERROR(VLOOKUP(4,$CI$113:$CV$300,14,FALSE))=FALSE,VLOOKUP(4,$CI$113:$CV$300,14,FALSE),"")</f>
      </c>
      <c s="131"/>
      <c s="17"/>
      <c s="88" t="str">
        <f>IF(ISERROR(VLOOKUP(4,$CK$113:$DM$300,27,FALSE))=FALSE,TEXT(VLOOKUP(4,$CK$113:$DM$300,27,FALSE)/$DI$112,"0.0%"),"")</f>
        <v>1.0%</v>
      </c>
      <c s="131" t="str">
        <f>IF(ISERROR(VLOOKUP(4,$CK$113:$CV$300,12,FALSE))=FALSE,VLOOKUP(4,$CK$113:$CV$300,12,FALSE),"")</f>
        <v>Family Dollar</v>
      </c>
      <c s="131"/>
      <c s="61"/>
      <c s="88" t="str">
        <f>IF(ISERROR(VLOOKUP(4,$CO$113:$DJ$300,22,FALSE))=FALSE,TEXT(VLOOKUP(4,$CO$113:$DJ$300,22,FALSE)/$DJ$112,"0.0%"),"")</f>
        <v>2.0%</v>
      </c>
      <c s="131" t="str">
        <f>IF(ISERROR(VLOOKUP(4,$CO$113:$CV$300,8,FALSE))=FALSE,VLOOKUP(4,$CO$113:$CV$300,8,FALSE),"")</f>
        <v>Publix</v>
      </c>
      <c s="131"/>
      <c s="16"/>
      <c s="88">
        <f>IF(ISERROR(VLOOKUP(4,$CQ$113:$DJ$300,20,FALSE))=FALSE,TEXT(VLOOKUP(4,$CQ$113:$DJ$300,20,FALSE)/$DJ$112,"0.0%"),"")</f>
      </c>
      <c s="131">
        <f>IF(ISERROR(VLOOKUP(4,$CQ$113:$CV$300,6,FALSE))=FALSE,VLOOKUP(4,$CQ$113:$CV$300,6,FALSE),"")</f>
      </c>
      <c s="131"/>
      <c s="18"/>
      <c s="88">
        <f>IF(ISERROR(VLOOKUP(4,$CS$113:$DJ$300,18,FALSE))=FALSE,TEXT(VLOOKUP(4,$CS$113:$DJ$300,18,FALSE)/$DJ$112,"0.0%"),"")</f>
      </c>
      <c s="131">
        <f>IF(ISERROR(VLOOKUP(4,$CS$113:$CV$300,4,FALSE))=FALSE,VLOOKUP(4,$CS$113:$CV$300,4,FALSE),"")</f>
      </c>
      <c s="131"/>
      <c s="18"/>
      <c s="88" t="str">
        <f>IF(ISERROR(VLOOKUP(4,$CU$113:$DJ$300,16,FALSE))=FALSE,TEXT(VLOOKUP(4,$CU$113:$DJ$300,16,FALSE)/$DJ$112,"0.0%"),"")</f>
        <v>1.8%</v>
      </c>
      <c s="131" t="str">
        <f>IF(ISERROR(VLOOKUP(4,$CU$113:$CV$300,2,FALSE))=FALSE,VLOOKUP(4,$CU$113:$CV$300,2,FALSE),"")</f>
        <v>Family Dollar</v>
      </c>
      <c s="131"/>
      <c s="50"/>
      <c s="42"/>
      <c r="CA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6" spans="1:138" s="43" customFormat="1" ht="11.25" customHeight="1">
      <c r="A46" s="40"/>
      <c s="41"/>
      <c s="40"/>
      <c s="86" t="str">
        <f>IF($Z$2&lt;&gt;"",IF(D45&lt;&gt;"",IF(VLOOKUP(4,$CE$113:$DZ$300,48,FALSE)&lt;&gt;"",IF(VLOOKUP(4,$CE$113:$DM$300,33,FALSE)/$DI$112-(VLOOKUP(4,$CE$113:$DM$300,33,FALSE)-VLOOKUP(4,$CE$113:$DZ$300,48,FALSE))/($DI$112-$DX$112)&gt;0,"+","")&amp;TEXT((VLOOKUP(4,$CE$113:$DM$300,33,FALSE)/$DI$112-(VLOOKUP(4,$CE$113:$DM$300,33,FALSE)-VLOOKUP(4,$CE$113:$DZ$300,48,FALSE))/($DI$112-$DX$112))*100,"0.0")&amp;"pts",""),""),"")</f>
        <v>-0.1pts</v>
      </c>
      <c s="131"/>
      <c s="131"/>
      <c s="16"/>
      <c s="86">
        <f>IF($Z$2&lt;&gt;"",IF(H45&lt;&gt;"",IF(VLOOKUP(4,$CG$113:$DZ$300,46,FALSE)&lt;&gt;"",IF(VLOOKUP(4,$CG$113:$DM$300,31,FALSE)/$DI$112-(VLOOKUP(4,$CG$113:$DM$300,31,FALSE)-VLOOKUP(4,$CG$113:$DZ$300,46,FALSE))/($DI$112-$DX$112)&gt;0,"+","")&amp;TEXT((VLOOKUP(4,$CG$113:$DM$300,31,FALSE)/$DI$112-(VLOOKUP(4,$CG$113:$DM$300,31,FALSE)-VLOOKUP(4,$CG$113:$DZ$300,46,FALSE))/($DI$112-$DX$112))*100,"0.0")&amp;"pts",""),""),"")</f>
      </c>
      <c s="131"/>
      <c s="131"/>
      <c s="17"/>
      <c s="86">
        <f>IF($Z$2&lt;&gt;"",IF(L45&lt;&gt;"",IF(VLOOKUP(4,$CI$113:$DZ$300,44,FALSE)&lt;&gt;"",IF(VLOOKUP(4,$CI$113:$DM$300,29,FALSE)/$DI$112-(VLOOKUP(4,$CI$113:$DM$300,29,FALSE)-VLOOKUP(4,$CI$113:$DZ$300,44,FALSE))/($DI$112-$DX$112)&gt;0,"+","")&amp;TEXT((VLOOKUP(4,$CI$113:$DM$300,29,FALSE)/$DI$112-(VLOOKUP(4,$CI$113:$DM$300,29,FALSE)-VLOOKUP(4,$CI$113:$DZ$300,44,FALSE))/($DI$112-$DX$112))*100,"0.0")&amp;"pts",""),""),"")</f>
      </c>
      <c s="131"/>
      <c s="131"/>
      <c s="17"/>
      <c s="86" t="str">
        <f>IF($Z$2&lt;&gt;"",IF(P45&lt;&gt;"",IF(VLOOKUP(4,$CK$113:$DZ$300,42,FALSE)&lt;&gt;"",IF(VLOOKUP(4,$CK$113:$DM$300,27,FALSE)/$DI$112-(VLOOKUP(4,$CK$113:$DM$300,27,FALSE)-VLOOKUP(4,$CK$113:$DZ$300,42,FALSE))/($DI$112-$DX$112)&gt;0,"+","")&amp;TEXT((VLOOKUP(4,$CK$113:$DM$300,27,FALSE)/$DI$112-(VLOOKUP(4,$CK$113:$DM$300,27,FALSE)-VLOOKUP(4,$CK$113:$DZ$300,42,FALSE))/($DI$112-$DX$112))*100,"0.0")&amp;"pts",""),""),"")</f>
        <v>+0.0pts</v>
      </c>
      <c s="131"/>
      <c s="131"/>
      <c s="61"/>
      <c s="86" t="str">
        <f>IF($Z$2&lt;&gt;"",IF(T45&lt;&gt;"",IF(VLOOKUP(4,$CO$113:$DZ$300,37,FALSE)&lt;&gt;"",IF(VLOOKUP(4,$CO$113:$DJ$300,22,FALSE)/$DJ$112-(VLOOKUP(4,$CO$113:$DJ$300,22,FALSE)-VLOOKUP(4,$CO$113:$DZ$300,37,FALSE))/($DJ$112-$DY$112)&gt;0,"+","")&amp;TEXT((VLOOKUP(4,$CO$113:$DJ$300,22,FALSE)/$DJ$112-(VLOOKUP(4,$CO$113:$DJ$300,22,FALSE)-VLOOKUP(4,$CO$113:$DZ$300,37,FALSE))/($DJ$112-$DY$112))*100,"0.0")&amp;"pts",""),""),"")</f>
        <v>-0.4pts</v>
      </c>
      <c s="131"/>
      <c s="131"/>
      <c s="16"/>
      <c s="86">
        <f>IF($Z$2&lt;&gt;"",IF(X45&lt;&gt;"",IF(VLOOKUP(4,$CQ$113:$DZ$300,35,FALSE)&lt;&gt;"",IF(VLOOKUP(4,$CQ$113:$DJ$300,20,FALSE)/$DJ$112-(VLOOKUP(4,$CQ$113:$DJ$300,20,FALSE)-VLOOKUP(4,$CQ$113:$DZ$300,35,FALSE))/($DJ$112-$DY$112)&gt;0,"+","")&amp;TEXT((VLOOKUP(4,$CQ$113:$DJ$300,20,FALSE)/$DJ$112-(VLOOKUP(4,$CQ$113:$DJ$300,20,FALSE)-VLOOKUP(4,$CQ$113:$DZ$300,35,FALSE))/($DJ$112-$DY$112))*100,"0.0")&amp;"pts",""),""),"")</f>
      </c>
      <c s="131"/>
      <c s="131"/>
      <c s="18"/>
      <c s="86">
        <f>IF($Z$2&lt;&gt;"",IF(AB45&lt;&gt;"",IF(VLOOKUP(4,$CS$113:$DZ$300,33,FALSE)&lt;&gt;"",IF(VLOOKUP(4,$CS$113:$DJ$300,18,FALSE)/$DJ$112-(VLOOKUP(4,$CS$113:$DJ$300,18,FALSE)-VLOOKUP(4,$CS$113:$DZ$300,33,FALSE))/($DJ$112-$DY$112)&gt;0,"+","")&amp;TEXT((VLOOKUP(4,$CS$113:$DJ$300,18,FALSE)/$DJ$112-(VLOOKUP(4,$CS$113:$DJ$300,18,FALSE)-VLOOKUP(4,$CS$113:$DZ$300,33,FALSE))/($DJ$112-$DY$112))*100,"0.0")&amp;"pts",""),""),"")</f>
      </c>
      <c s="131"/>
      <c s="131"/>
      <c s="18"/>
      <c s="86" t="str">
        <f>IF($Z$2&lt;&gt;"",IF(AF45&lt;&gt;"",IF(VLOOKUP(4,$CU$113:$DZ$300,31,FALSE)&lt;&gt;"",IF(VLOOKUP(4,$CU$113:$DJ$300,16,FALSE)/$DJ$112-(VLOOKUP(4,$CU$113:$DJ$300,16,FALSE)-VLOOKUP(4,$CU$113:$DZ$300,31,FALSE))/($DJ$112-$DY$112)&gt;0,"+","")&amp;TEXT((VLOOKUP(4,$CU$113:$DJ$300,16,FALSE)/$DJ$112-(VLOOKUP(4,$CU$113:$DJ$300,16,FALSE)-VLOOKUP(4,$CU$113:$DZ$300,31,FALSE))/($DJ$112-$DY$112))*100,"0.0")&amp;"pts",""),""),"")</f>
        <v>+0.1pts</v>
      </c>
      <c s="131"/>
      <c s="131"/>
      <c s="50"/>
      <c s="42"/>
      <c r="CA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7" spans="1:138" s="43" customFormat="1" ht="11.25" customHeight="1">
      <c r="A47" s="40"/>
      <c s="41"/>
      <c s="40"/>
      <c s="87" t="str">
        <f>IF($Z$1&lt;&gt;"",IF(D45&lt;&gt;"",TEXT(VLOOKUP(4,$CE$110:$DI$300,31,FALSE)/1000000,"$#,##0.0")&amp;"MM",""),"")</f>
        <v>$7.4MM</v>
      </c>
      <c s="131"/>
      <c s="131"/>
      <c s="16"/>
      <c s="87">
        <f>IF($Z$1&lt;&gt;"",IF(H45&lt;&gt;"",TEXT(VLOOKUP(4,$CG$110:$DI$300,29,FALSE)/1000000,"$#,##0.0")&amp;"MM",""),"")</f>
      </c>
      <c s="131"/>
      <c s="131"/>
      <c s="17"/>
      <c s="87">
        <f>IF($Z$1&lt;&gt;"",IF(L45&lt;&gt;"",TEXT(VLOOKUP(4,$CI$110:$DI$300,27,FALSE)/1000000,"$#,##0.0")&amp;"MM",""),"")</f>
      </c>
      <c s="131"/>
      <c s="131"/>
      <c s="17"/>
      <c s="87" t="str">
        <f>IF($Z$1&lt;&gt;"",IF(P45&lt;&gt;"",TEXT(VLOOKUP(4,$CK$110:$DI$300,25,FALSE)/1000000,"$#,##0.0")&amp;"MM",""),"")</f>
        <v>$7.6MM</v>
      </c>
      <c s="131"/>
      <c s="131"/>
      <c s="61"/>
      <c s="87" t="str">
        <f>IF($Z$1&lt;&gt;"",IF(T45&lt;&gt;"",TEXT(VLOOKUP(4,$CO$110:$DJ$300,22,FALSE)/1000000,"$#,##0.0")&amp;"MM",""),"")</f>
        <v>$36.9MM</v>
      </c>
      <c s="131"/>
      <c s="131"/>
      <c s="16"/>
      <c s="87">
        <f>IF($Z$1&lt;&gt;"",IF(X45&lt;&gt;"",TEXT(VLOOKUP(4,$CQ$110:$DJ$300,20,FALSE)/1000000,"$#,##0.0")&amp;"MM",""),"")</f>
      </c>
      <c s="131"/>
      <c s="131"/>
      <c s="18"/>
      <c s="87">
        <f>IF($Z$1&lt;&gt;"",IF(AB45&lt;&gt;"",TEXT(VLOOKUP(4,$CS$110:$DJ$300,18,FALSE)/1000000,"$#,##0.0")&amp;"MM",""),"")</f>
      </c>
      <c s="131"/>
      <c s="131"/>
      <c s="18"/>
      <c s="87" t="str">
        <f>IF($Z$1&lt;&gt;"",IF(AF45&lt;&gt;"",TEXT(VLOOKUP(4,$CU$110:$DJ$300,16,FALSE)/1000000,"$#,##0.0")&amp;"MM",""),"")</f>
        <v>$32.8MM</v>
      </c>
      <c s="131"/>
      <c s="131"/>
      <c s="50"/>
      <c s="42"/>
      <c r="CA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8" spans="1:138" s="43" customFormat="1" ht="11.25" customHeight="1">
      <c r="A48" s="40"/>
      <c s="41"/>
      <c s="40"/>
      <c s="88" t="str">
        <f>IF(ISERROR(VLOOKUP(5,$CE$113:$DM$300,33,FALSE))=FALSE,TEXT(VLOOKUP(5,$CE$113:$DM$300,33,FALSE)/$DI$112,"0.0%"),"")</f>
        <v>0.7%</v>
      </c>
      <c s="131" t="str">
        <f>IF(ISERROR(VLOOKUP(5,$CE$113:$CV$300,18,FALSE))=FALSE,VLOOKUP(5,$CE$113:$CV$300,18,FALSE),"")</f>
        <v>Safeway</v>
      </c>
      <c s="131"/>
      <c s="16"/>
      <c s="88">
        <f>IF(ISERROR(VLOOKUP(5,$CG$113:$DM$300,31,FALSE))=FALSE,TEXT(VLOOKUP(5,$CG$113:$DM$300,31,FALSE)/$DI$112,"0.0%"),"")</f>
      </c>
      <c s="131">
        <f>IF(ISERROR(VLOOKUP(5,$CG$113:$CV$300,16,FALSE))=FALSE,VLOOKUP(5,$CG$113:$CV$300,16,FALSE),"")</f>
      </c>
      <c s="131"/>
      <c s="17"/>
      <c s="88">
        <f>IF(ISERROR(VLOOKUP(5,$CI$113:$DM$300,29,FALSE))=FALSE,TEXT(VLOOKUP(5,$CI$113:$DM$300,29,FALSE)/$DI$112,"0.0%"),"")</f>
      </c>
      <c s="131">
        <f>IF(ISERROR(VLOOKUP(5,$CI$113:$CV$300,14,FALSE))=FALSE,VLOOKUP(5,$CI$113:$CV$300,14,FALSE),"")</f>
      </c>
      <c s="131"/>
      <c s="17"/>
      <c s="88" t="str">
        <f>IF(ISERROR(VLOOKUP(5,$CK$113:$DM$300,27,FALSE))=FALSE,TEXT(VLOOKUP(5,$CK$113:$DM$300,27,FALSE)/$DI$112,"0.0%"),"")</f>
        <v>0.8%</v>
      </c>
      <c s="131" t="str">
        <f>IF(ISERROR(VLOOKUP(5,$CK$113:$CV$300,12,FALSE))=FALSE,VLOOKUP(5,$CK$113:$CV$300,12,FALSE),"")</f>
        <v>Rite Aid</v>
      </c>
      <c s="131"/>
      <c s="61"/>
      <c s="88" t="str">
        <f>IF(ISERROR(VLOOKUP(5,$CO$113:$DJ$300,22,FALSE))=FALSE,TEXT(VLOOKUP(5,$CO$113:$DJ$300,22,FALSE)/$DJ$112,"0.0%"),"")</f>
        <v>1.6%</v>
      </c>
      <c s="131" t="str">
        <f>IF(ISERROR(VLOOKUP(5,$CO$113:$CV$300,8,FALSE))=FALSE,VLOOKUP(5,$CO$113:$CV$300,8,FALSE),"")</f>
        <v>HEB</v>
      </c>
      <c s="131"/>
      <c s="16"/>
      <c s="88">
        <f>IF(ISERROR(VLOOKUP(5,$CQ$113:$DJ$300,20,FALSE))=FALSE,TEXT(VLOOKUP(5,$CQ$113:$DJ$300,20,FALSE)/$DJ$112,"0.0%"),"")</f>
      </c>
      <c s="131">
        <f>IF(ISERROR(VLOOKUP(5,$CQ$113:$CV$300,6,FALSE))=FALSE,VLOOKUP(5,$CQ$113:$CV$300,6,FALSE),"")</f>
      </c>
      <c s="131"/>
      <c s="18"/>
      <c s="88">
        <f>IF(ISERROR(VLOOKUP(5,$CS$113:$DJ$300,18,FALSE))=FALSE,TEXT(VLOOKUP(5,$CS$113:$DJ$300,18,FALSE)/$DJ$112,"0.0%"),"")</f>
      </c>
      <c s="131">
        <f>IF(ISERROR(VLOOKUP(5,$CS$113:$CV$300,4,FALSE))=FALSE,VLOOKUP(5,$CS$113:$CV$300,4,FALSE),"")</f>
      </c>
      <c s="131"/>
      <c s="18"/>
      <c s="88" t="str">
        <f>IF(ISERROR(VLOOKUP(5,$CU$113:$DJ$300,16,FALSE))=FALSE,TEXT(VLOOKUP(5,$CU$113:$DJ$300,16,FALSE)/$DJ$112,"0.0%"),"")</f>
        <v>1.4%</v>
      </c>
      <c s="131" t="str">
        <f>IF(ISERROR(VLOOKUP(5,$CU$113:$CV$300,2,FALSE))=FALSE,VLOOKUP(5,$CU$113:$CV$300,2,FALSE),"")</f>
        <v>Dollar Tree</v>
      </c>
      <c s="131"/>
      <c s="50"/>
      <c s="42"/>
      <c r="CA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9" spans="1:138" s="43" customFormat="1" ht="11.25" customHeight="1">
      <c r="A49" s="40"/>
      <c s="41"/>
      <c s="40"/>
      <c s="86" t="str">
        <f>IF($Z$2&lt;&gt;"",IF(D48&lt;&gt;"",IF(VLOOKUP(5,$CE$113:$DZ$300,48,FALSE)&lt;&gt;"",IF(VLOOKUP(5,$CE$113:$DM$300,33,FALSE)/$DI$112-(VLOOKUP(5,$CE$113:$DM$300,33,FALSE)-VLOOKUP(5,$CE$113:$DZ$300,48,FALSE))/($DI$112-$DX$112)&gt;0,"+","")&amp;TEXT((VLOOKUP(5,$CE$113:$DM$300,33,FALSE)/$DI$112-(VLOOKUP(5,$CE$113:$DM$300,33,FALSE)-VLOOKUP(5,$CE$113:$DZ$300,48,FALSE))/($DI$112-$DX$112))*100,"0.0")&amp;"pts",""),""),"")</f>
        <v>-0.3pts</v>
      </c>
      <c s="131"/>
      <c s="131"/>
      <c s="16"/>
      <c s="86">
        <f>IF($Z$2&lt;&gt;"",IF(H48&lt;&gt;"",IF(VLOOKUP(5,$CG$113:$DZ$300,46,FALSE)&lt;&gt;"",IF(VLOOKUP(5,$CG$113:$DM$300,31,FALSE)/$DI$112-(VLOOKUP(5,$CG$113:$DM$300,31,FALSE)-VLOOKUP(5,$CG$113:$DZ$300,46,FALSE))/($DI$112-$DX$112)&gt;0,"+","")&amp;TEXT((VLOOKUP(5,$CG$113:$DM$300,31,FALSE)/$DI$112-(VLOOKUP(5,$CG$113:$DM$300,31,FALSE)-VLOOKUP(5,$CG$113:$DZ$300,46,FALSE))/($DI$112-$DX$112))*100,"0.0")&amp;"pts",""),""),"")</f>
      </c>
      <c s="131"/>
      <c s="131"/>
      <c s="17"/>
      <c s="86">
        <f>IF($Z$2&lt;&gt;"",IF(L48&lt;&gt;"",IF(VLOOKUP(5,$CI$113:$DZ$300,44,FALSE)&lt;&gt;"",IF(VLOOKUP(5,$CI$113:$DM$300,29,FALSE)/$DI$112-(VLOOKUP(5,$CI$113:$DM$300,29,FALSE)-VLOOKUP(5,$CI$113:$DZ$300,44,FALSE))/($DI$112-$DX$112)&gt;0,"+","")&amp;TEXT((VLOOKUP(5,$CI$113:$DM$300,29,FALSE)/$DI$112-(VLOOKUP(5,$CI$113:$DM$300,29,FALSE)-VLOOKUP(5,$CI$113:$DZ$300,44,FALSE))/($DI$112-$DX$112))*100,"0.0")&amp;"pts",""),""),"")</f>
      </c>
      <c s="131"/>
      <c s="131"/>
      <c s="17"/>
      <c s="86" t="str">
        <f>IF($Z$2&lt;&gt;"",IF(P48&lt;&gt;"",IF(VLOOKUP(5,$CK$113:$DZ$300,42,FALSE)&lt;&gt;"",IF(VLOOKUP(5,$CK$113:$DM$300,27,FALSE)/$DI$112-(VLOOKUP(5,$CK$113:$DM$300,27,FALSE)-VLOOKUP(5,$CK$113:$DZ$300,42,FALSE))/($DI$112-$DX$112)&gt;0,"+","")&amp;TEXT((VLOOKUP(5,$CK$113:$DM$300,27,FALSE)/$DI$112-(VLOOKUP(5,$CK$113:$DM$300,27,FALSE)-VLOOKUP(5,$CK$113:$DZ$300,42,FALSE))/($DI$112-$DX$112))*100,"0.0")&amp;"pts",""),""),"")</f>
        <v>0.0pts</v>
      </c>
      <c s="131"/>
      <c s="131"/>
      <c s="61"/>
      <c s="86" t="str">
        <f>IF($Z$2&lt;&gt;"",IF(T48&lt;&gt;"",IF(VLOOKUP(5,$CO$113:$DZ$300,37,FALSE)&lt;&gt;"",IF(VLOOKUP(5,$CO$113:$DJ$300,22,FALSE)/$DJ$112-(VLOOKUP(5,$CO$113:$DJ$300,22,FALSE)-VLOOKUP(5,$CO$113:$DZ$300,37,FALSE))/($DJ$112-$DY$112)&gt;0,"+","")&amp;TEXT((VLOOKUP(5,$CO$113:$DJ$300,22,FALSE)/$DJ$112-(VLOOKUP(5,$CO$113:$DJ$300,22,FALSE)-VLOOKUP(5,$CO$113:$DZ$300,37,FALSE))/($DJ$112-$DY$112))*100,"0.0")&amp;"pts",""),""),"")</f>
        <v>+0.4pts</v>
      </c>
      <c s="131"/>
      <c s="131"/>
      <c s="16"/>
      <c s="86">
        <f>IF($Z$2&lt;&gt;"",IF(X48&lt;&gt;"",IF(VLOOKUP(5,$CQ$113:$DZ$300,35,FALSE)&lt;&gt;"",IF(VLOOKUP(5,$CQ$113:$DJ$300,20,FALSE)/$DJ$112-(VLOOKUP(5,$CQ$113:$DJ$300,20,FALSE)-VLOOKUP(5,$CQ$113:$DZ$300,35,FALSE))/($DJ$112-$DY$112)&gt;0,"+","")&amp;TEXT((VLOOKUP(5,$CQ$113:$DJ$300,20,FALSE)/$DJ$112-(VLOOKUP(5,$CQ$113:$DJ$300,20,FALSE)-VLOOKUP(5,$CQ$113:$DZ$300,35,FALSE))/($DJ$112-$DY$112))*100,"0.0")&amp;"pts",""),""),"")</f>
      </c>
      <c s="131"/>
      <c s="131"/>
      <c s="18"/>
      <c s="86">
        <f>IF($Z$2&lt;&gt;"",IF(AB48&lt;&gt;"",IF(VLOOKUP(5,$CS$113:$DZ$300,33,FALSE)&lt;&gt;"",IF(VLOOKUP(5,$CS$113:$DJ$300,18,FALSE)/$DJ$112-(VLOOKUP(5,$CS$113:$DJ$300,18,FALSE)-VLOOKUP(5,$CS$113:$DZ$300,33,FALSE))/($DJ$112-$DY$112)&gt;0,"+","")&amp;TEXT((VLOOKUP(5,$CS$113:$DJ$300,18,FALSE)/$DJ$112-(VLOOKUP(5,$CS$113:$DJ$300,18,FALSE)-VLOOKUP(5,$CS$113:$DZ$300,33,FALSE))/($DJ$112-$DY$112))*100,"0.0")&amp;"pts",""),""),"")</f>
      </c>
      <c s="131"/>
      <c s="131"/>
      <c s="18"/>
      <c s="86" t="str">
        <f>IF($Z$2&lt;&gt;"",IF(AF48&lt;&gt;"",IF(VLOOKUP(5,$CU$113:$DZ$300,31,FALSE)&lt;&gt;"",IF(VLOOKUP(5,$CU$113:$DJ$300,16,FALSE)/$DJ$112-(VLOOKUP(5,$CU$113:$DJ$300,16,FALSE)-VLOOKUP(5,$CU$113:$DZ$300,31,FALSE))/($DJ$112-$DY$112)&gt;0,"+","")&amp;TEXT((VLOOKUP(5,$CU$113:$DJ$300,16,FALSE)/$DJ$112-(VLOOKUP(5,$CU$113:$DJ$300,16,FALSE)-VLOOKUP(5,$CU$113:$DZ$300,31,FALSE))/($DJ$112-$DY$112))*100,"0.0")&amp;"pts",""),""),"")</f>
        <v>-0.1pts</v>
      </c>
      <c s="131"/>
      <c s="131"/>
      <c s="50"/>
      <c s="42"/>
      <c r="CA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0" spans="1:138" s="43" customFormat="1" ht="11.25" customHeight="1">
      <c r="A50" s="40"/>
      <c s="41"/>
      <c s="40"/>
      <c s="87" t="str">
        <f>IF($Z$1&lt;&gt;"",IF(D48&lt;&gt;"",TEXT(VLOOKUP(5,$CE$110:$DI$300,31,FALSE)/1000000,"$#,##0.0")&amp;"MM",""),"")</f>
        <v>$5.6MM</v>
      </c>
      <c s="131"/>
      <c s="131"/>
      <c s="16"/>
      <c s="87">
        <f>IF($Z$1&lt;&gt;"",IF(H48&lt;&gt;"",TEXT(VLOOKUP(5,$CG$110:$DI$300,29,FALSE)/1000000,"$#,##0.0")&amp;"MM",""),"")</f>
      </c>
      <c s="131"/>
      <c s="131"/>
      <c s="17"/>
      <c s="87">
        <f>IF($Z$1&lt;&gt;"",IF(L48&lt;&gt;"",TEXT(VLOOKUP(5,$CI$110:$DI$300,27,FALSE)/1000000,"$#,##0.0")&amp;"MM",""),"")</f>
      </c>
      <c s="131"/>
      <c s="131"/>
      <c s="17"/>
      <c s="87" t="str">
        <f>IF($Z$1&lt;&gt;"",IF(P48&lt;&gt;"",TEXT(VLOOKUP(5,$CK$110:$DI$300,25,FALSE)/1000000,"$#,##0.0")&amp;"MM",""),"")</f>
        <v>$6.2MM</v>
      </c>
      <c s="131"/>
      <c s="131"/>
      <c s="61"/>
      <c s="87" t="str">
        <f>IF($Z$1&lt;&gt;"",IF(T48&lt;&gt;"",TEXT(VLOOKUP(5,$CO$110:$DJ$300,22,FALSE)/1000000,"$#,##0.0")&amp;"MM",""),"")</f>
        <v>$29.6MM</v>
      </c>
      <c s="131"/>
      <c s="131"/>
      <c s="16"/>
      <c s="87">
        <f>IF($Z$1&lt;&gt;"",IF(X48&lt;&gt;"",TEXT(VLOOKUP(5,$CQ$110:$DJ$300,20,FALSE)/1000000,"$#,##0.0")&amp;"MM",""),"")</f>
      </c>
      <c s="131"/>
      <c s="131"/>
      <c s="18"/>
      <c s="87">
        <f>IF($Z$1&lt;&gt;"",IF(AB48&lt;&gt;"",TEXT(VLOOKUP(5,$CS$110:$DJ$300,18,FALSE)/1000000,"$#,##0.0")&amp;"MM",""),"")</f>
      </c>
      <c s="131"/>
      <c s="131"/>
      <c s="18"/>
      <c s="87" t="str">
        <f>IF($Z$1&lt;&gt;"",IF(AF48&lt;&gt;"",TEXT(VLOOKUP(5,$CU$110:$DJ$300,16,FALSE)/1000000,"$#,##0.0")&amp;"MM",""),"")</f>
        <v>$26.0MM</v>
      </c>
      <c s="131"/>
      <c s="131"/>
      <c s="50"/>
      <c s="42"/>
      <c r="CA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51" spans="1:138" s="43" customFormat="1" ht="11.25" customHeight="1">
      <c r="A51" s="40"/>
      <c s="41"/>
      <c s="40"/>
      <c s="88" t="str">
        <f>IF(ISERROR(VLOOKUP(6,$CE$113:$DM$300,33,FALSE))=FALSE,TEXT(VLOOKUP(6,$CE$113:$DM$300,33,FALSE)/$DI$112,"0.0%"),"")</f>
        <v>0.7%</v>
      </c>
      <c s="131" t="str">
        <f>IF(ISERROR(VLOOKUP(6,$CE$113:$CV$300,18,FALSE))=FALSE,VLOOKUP(6,$CE$113:$CV$300,18,FALSE),"")</f>
        <v>HEB</v>
      </c>
      <c s="131"/>
      <c s="16"/>
      <c s="88">
        <f>IF(ISERROR(VLOOKUP(6,$CG$113:$DM$300,31,FALSE))=FALSE,TEXT(VLOOKUP(6,$CG$113:$DM$300,31,FALSE)/$DI$112,"0.0%"),"")</f>
      </c>
      <c s="131">
        <f>IF(ISERROR(VLOOKUP(6,$CG$113:$CV$300,16,FALSE))=FALSE,VLOOKUP(6,$CG$113:$CV$300,16,FALSE),"")</f>
      </c>
      <c s="131"/>
      <c s="17"/>
      <c s="88">
        <f>IF(ISERROR(VLOOKUP(6,$CI$113:$DM$300,29,FALSE))=FALSE,TEXT(VLOOKUP(6,$CI$113:$DM$300,29,FALSE)/$DI$112,"0.0%"),"")</f>
      </c>
      <c s="131">
        <f>IF(ISERROR(VLOOKUP(6,$CI$113:$CV$300,14,FALSE))=FALSE,VLOOKUP(6,$CI$113:$CV$300,14,FALSE),"")</f>
      </c>
      <c s="131"/>
      <c s="17"/>
      <c s="88" t="str">
        <f>IF(ISERROR(VLOOKUP(6,$CK$113:$DM$300,27,FALSE))=FALSE,TEXT(VLOOKUP(6,$CK$113:$DM$300,27,FALSE)/$DI$112,"0.0%"),"")</f>
        <v>0.8%</v>
      </c>
      <c s="131" t="str">
        <f>IF(ISERROR(VLOOKUP(6,$CK$113:$CV$300,12,FALSE))=FALSE,VLOOKUP(6,$CK$113:$CV$300,12,FALSE),"")</f>
        <v>Big Lots</v>
      </c>
      <c s="131"/>
      <c s="61"/>
      <c s="88" t="str">
        <f>IF(ISERROR(VLOOKUP(6,$CO$113:$DJ$300,22,FALSE))=FALSE,TEXT(VLOOKUP(6,$CO$113:$DJ$300,22,FALSE)/$DJ$112,"0.0%"),"")</f>
        <v>1.1%</v>
      </c>
      <c s="131" t="str">
        <f>IF(ISERROR(VLOOKUP(6,$CO$113:$CV$300,8,FALSE))=FALSE,VLOOKUP(6,$CO$113:$CV$300,8,FALSE),"")</f>
        <v>Stop &amp; Shop</v>
      </c>
      <c s="131"/>
      <c s="16"/>
      <c s="88">
        <f>IF(ISERROR(VLOOKUP(6,$CQ$113:$DJ$300,20,FALSE))=FALSE,TEXT(VLOOKUP(6,$CQ$113:$DJ$300,20,FALSE)/$DJ$112,"0.0%"),"")</f>
      </c>
      <c s="131">
        <f>IF(ISERROR(VLOOKUP(6,$CQ$113:$CV$300,6,FALSE))=FALSE,VLOOKUP(6,$CQ$113:$CV$300,6,FALSE),"")</f>
      </c>
      <c s="131"/>
      <c s="18"/>
      <c s="88">
        <f>IF(ISERROR(VLOOKUP(6,$CS$113:$DJ$300,18,FALSE))=FALSE,TEXT(VLOOKUP(6,$CS$113:$DJ$300,18,FALSE)/$DJ$112,"0.0%"),"")</f>
      </c>
      <c s="131">
        <f>IF(ISERROR(VLOOKUP(6,$CS$113:$CV$300,4,FALSE))=FALSE,VLOOKUP(6,$CS$113:$CV$300,4,FALSE),"")</f>
      </c>
      <c s="131"/>
      <c s="18"/>
      <c s="88" t="str">
        <f>IF(ISERROR(VLOOKUP(6,$CU$113:$DJ$300,16,FALSE))=FALSE,TEXT(VLOOKUP(6,$CU$113:$DJ$300,16,FALSE)/$DJ$112,"0.0%"),"")</f>
        <v>1.3%</v>
      </c>
      <c s="131" t="str">
        <f>IF(ISERROR(VLOOKUP(6,$CU$113:$CV$300,2,FALSE))=FALSE,VLOOKUP(6,$CU$113:$CV$300,2,FALSE),"")</f>
        <v>DeCA Commissary</v>
      </c>
      <c s="131"/>
      <c s="50"/>
      <c s="42"/>
      <c r="CA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2" spans="1:138" s="43" customFormat="1" ht="11.25" customHeight="1">
      <c r="A52" s="40"/>
      <c s="41"/>
      <c s="40"/>
      <c s="86" t="str">
        <f>IF($Z$2&lt;&gt;"",IF(D51&lt;&gt;"",IF(VLOOKUP(6,$CE$113:$DZ$300,48,FALSE)&lt;&gt;"",IF(VLOOKUP(6,$CE$113:$DM$300,33,FALSE)/$DI$112-(VLOOKUP(6,$CE$113:$DM$300,33,FALSE)-VLOOKUP(6,$CE$113:$DZ$300,48,FALSE))/($DI$112-$DX$112)&gt;0,"+","")&amp;TEXT((VLOOKUP(6,$CE$113:$DM$300,33,FALSE)/$DI$112-(VLOOKUP(6,$CE$113:$DM$300,33,FALSE)-VLOOKUP(6,$CE$113:$DZ$300,48,FALSE))/($DI$112-$DX$112))*100,"0.0")&amp;"pts",""),""),"")</f>
        <v>-0.3pts</v>
      </c>
      <c s="131"/>
      <c s="131"/>
      <c s="16"/>
      <c s="86">
        <f>IF($Z$2&lt;&gt;"",IF(H51&lt;&gt;"",IF(VLOOKUP(6,$CG$113:$DZ$300,46,FALSE)&lt;&gt;"",IF(VLOOKUP(6,$CG$113:$DM$300,31,FALSE)/$DI$112-(VLOOKUP(6,$CG$113:$DM$300,31,FALSE)-VLOOKUP(6,$CG$113:$DZ$300,46,FALSE))/($DI$112-$DX$112)&gt;0,"+","")&amp;TEXT((VLOOKUP(6,$CG$113:$DM$300,31,FALSE)/$DI$112-(VLOOKUP(6,$CG$113:$DM$300,31,FALSE)-VLOOKUP(6,$CG$113:$DZ$300,46,FALSE))/($DI$112-$DX$112))*100,"0.0")&amp;"pts",""),""),"")</f>
      </c>
      <c s="131"/>
      <c s="131"/>
      <c s="17"/>
      <c s="86">
        <f>IF($Z$2&lt;&gt;"",IF(L51&lt;&gt;"",IF(VLOOKUP(6,$CI$113:$DZ$300,44,FALSE)&lt;&gt;"",IF(VLOOKUP(6,$CI$113:$DM$300,29,FALSE)/$DI$112-(VLOOKUP(6,$CI$113:$DM$300,29,FALSE)-VLOOKUP(6,$CI$113:$DZ$300,44,FALSE))/($DI$112-$DX$112)&gt;0,"+","")&amp;TEXT((VLOOKUP(6,$CI$113:$DM$300,29,FALSE)/$DI$112-(VLOOKUP(6,$CI$113:$DM$300,29,FALSE)-VLOOKUP(6,$CI$113:$DZ$300,44,FALSE))/($DI$112-$DX$112))*100,"0.0")&amp;"pts",""),""),"")</f>
      </c>
      <c s="131"/>
      <c s="131"/>
      <c s="17"/>
      <c s="86" t="str">
        <f>IF($Z$2&lt;&gt;"",IF(P51&lt;&gt;"",IF(VLOOKUP(6,$CK$113:$DZ$300,42,FALSE)&lt;&gt;"",IF(VLOOKUP(6,$CK$113:$DM$300,27,FALSE)/$DI$112-(VLOOKUP(6,$CK$113:$DM$300,27,FALSE)-VLOOKUP(6,$CK$113:$DZ$300,42,FALSE))/($DI$112-$DX$112)&gt;0,"+","")&amp;TEXT((VLOOKUP(6,$CK$113:$DM$300,27,FALSE)/$DI$112-(VLOOKUP(6,$CK$113:$DM$300,27,FALSE)-VLOOKUP(6,$CK$113:$DZ$300,42,FALSE))/($DI$112-$DX$112))*100,"0.0")&amp;"pts",""),""),"")</f>
        <v>+0.1pts</v>
      </c>
      <c s="131"/>
      <c s="131"/>
      <c s="61"/>
      <c s="86" t="str">
        <f>IF($Z$2&lt;&gt;"",IF(T51&lt;&gt;"",IF(VLOOKUP(6,$CO$113:$DZ$300,37,FALSE)&lt;&gt;"",IF(VLOOKUP(6,$CO$113:$DJ$300,22,FALSE)/$DJ$112-(VLOOKUP(6,$CO$113:$DJ$300,22,FALSE)-VLOOKUP(6,$CO$113:$DZ$300,37,FALSE))/($DJ$112-$DY$112)&gt;0,"+","")&amp;TEXT((VLOOKUP(6,$CO$113:$DJ$300,22,FALSE)/$DJ$112-(VLOOKUP(6,$CO$113:$DJ$300,22,FALSE)-VLOOKUP(6,$CO$113:$DZ$300,37,FALSE))/($DJ$112-$DY$112))*100,"0.0")&amp;"pts",""),""),"")</f>
        <v>-0.2pts</v>
      </c>
      <c s="131"/>
      <c s="131"/>
      <c s="16"/>
      <c s="86">
        <f>IF($Z$2&lt;&gt;"",IF(X51&lt;&gt;"",IF(VLOOKUP(6,$CQ$113:$DZ$300,35,FALSE)&lt;&gt;"",IF(VLOOKUP(6,$CQ$113:$DJ$300,20,FALSE)/$DJ$112-(VLOOKUP(6,$CQ$113:$DJ$300,20,FALSE)-VLOOKUP(6,$CQ$113:$DZ$300,35,FALSE))/($DJ$112-$DY$112)&gt;0,"+","")&amp;TEXT((VLOOKUP(6,$CQ$113:$DJ$300,20,FALSE)/$DJ$112-(VLOOKUP(6,$CQ$113:$DJ$300,20,FALSE)-VLOOKUP(6,$CQ$113:$DZ$300,35,FALSE))/($DJ$112-$DY$112))*100,"0.0")&amp;"pts",""),""),"")</f>
      </c>
      <c s="131"/>
      <c s="131"/>
      <c s="18"/>
      <c s="86">
        <f>IF($Z$2&lt;&gt;"",IF(AB51&lt;&gt;"",IF(VLOOKUP(6,$CS$113:$DZ$300,33,FALSE)&lt;&gt;"",IF(VLOOKUP(6,$CS$113:$DJ$300,18,FALSE)/$DJ$112-(VLOOKUP(6,$CS$113:$DJ$300,18,FALSE)-VLOOKUP(6,$CS$113:$DZ$300,33,FALSE))/($DJ$112-$DY$112)&gt;0,"+","")&amp;TEXT((VLOOKUP(6,$CS$113:$DJ$300,18,FALSE)/$DJ$112-(VLOOKUP(6,$CS$113:$DJ$300,18,FALSE)-VLOOKUP(6,$CS$113:$DZ$300,33,FALSE))/($DJ$112-$DY$112))*100,"0.0")&amp;"pts",""),""),"")</f>
      </c>
      <c s="131"/>
      <c s="131"/>
      <c s="18"/>
      <c s="86" t="str">
        <f>IF($Z$2&lt;&gt;"",IF(AF51&lt;&gt;"",IF(VLOOKUP(6,$CU$113:$DZ$300,31,FALSE)&lt;&gt;"",IF(VLOOKUP(6,$CU$113:$DJ$300,16,FALSE)/$DJ$112-(VLOOKUP(6,$CU$113:$DJ$300,16,FALSE)-VLOOKUP(6,$CU$113:$DZ$300,31,FALSE))/($DJ$112-$DY$112)&gt;0,"+","")&amp;TEXT((VLOOKUP(6,$CU$113:$DJ$300,16,FALSE)/$DJ$112-(VLOOKUP(6,$CU$113:$DJ$300,16,FALSE)-VLOOKUP(6,$CU$113:$DZ$300,31,FALSE))/($DJ$112-$DY$112))*100,"0.0")&amp;"pts",""),""),"")</f>
        <v>0.0pts</v>
      </c>
      <c s="131"/>
      <c s="131"/>
      <c s="50"/>
      <c s="42"/>
      <c r="CA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3" spans="1:138" s="43" customFormat="1" ht="11.25" customHeight="1">
      <c r="A53" s="40"/>
      <c s="41"/>
      <c s="40"/>
      <c s="87" t="str">
        <f>IF($Z$1&lt;&gt;"",IF(D51&lt;&gt;"",TEXT(VLOOKUP(6,$CE$110:$DI$300,31,FALSE)/1000000,"$#,##0.0")&amp;"MM",""),"")</f>
        <v>$5.6MM</v>
      </c>
      <c s="131"/>
      <c s="131"/>
      <c s="16"/>
      <c s="87">
        <f>IF($Z$1&lt;&gt;"",IF(H51&lt;&gt;"",TEXT(VLOOKUP(6,$CG$110:$DI$300,29,FALSE)/1000000,"$#,##0.0")&amp;"MM",""),"")</f>
      </c>
      <c s="131"/>
      <c s="131"/>
      <c s="17"/>
      <c s="87">
        <f>IF($Z$1&lt;&gt;"",IF(L51&lt;&gt;"",TEXT(VLOOKUP(6,$CI$110:$DI$300,27,FALSE)/1000000,"$#,##0.0")&amp;"MM",""),"")</f>
      </c>
      <c s="131"/>
      <c s="131"/>
      <c s="17"/>
      <c s="87" t="str">
        <f>IF($Z$1&lt;&gt;"",IF(P51&lt;&gt;"",TEXT(VLOOKUP(6,$CK$110:$DI$300,25,FALSE)/1000000,"$#,##0.0")&amp;"MM",""),"")</f>
        <v>$6.0MM</v>
      </c>
      <c s="131"/>
      <c s="131"/>
      <c s="61"/>
      <c s="87" t="str">
        <f>IF($Z$1&lt;&gt;"",IF(T51&lt;&gt;"",TEXT(VLOOKUP(6,$CO$110:$DJ$300,22,FALSE)/1000000,"$#,##0.0")&amp;"MM",""),"")</f>
        <v>$19.4MM</v>
      </c>
      <c s="131"/>
      <c s="131"/>
      <c s="16"/>
      <c s="87">
        <f>IF($Z$1&lt;&gt;"",IF(X51&lt;&gt;"",TEXT(VLOOKUP(6,$CQ$110:$DJ$300,20,FALSE)/1000000,"$#,##0.0")&amp;"MM",""),"")</f>
      </c>
      <c s="131"/>
      <c s="131"/>
      <c s="18"/>
      <c s="87">
        <f>IF($Z$1&lt;&gt;"",IF(AB51&lt;&gt;"",TEXT(VLOOKUP(6,$CS$110:$DJ$300,18,FALSE)/1000000,"$#,##0.0")&amp;"MM",""),"")</f>
      </c>
      <c s="131"/>
      <c s="131"/>
      <c s="18"/>
      <c s="87" t="str">
        <f>IF($Z$1&lt;&gt;"",IF(AF51&lt;&gt;"",TEXT(VLOOKUP(6,$CU$110:$DJ$300,16,FALSE)/1000000,"$#,##0.0")&amp;"MM",""),"")</f>
        <v>$23.0MM</v>
      </c>
      <c s="131"/>
      <c s="131"/>
      <c s="50"/>
      <c s="42"/>
      <c r="CA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54" spans="1:138" ht="7.5" customHeight="1">
      <c r="A54" s="21"/>
      <c s="25"/>
      <c s="21"/>
      <c s="21"/>
      <c s="21"/>
      <c s="21"/>
      <c s="21"/>
      <c s="21"/>
      <c s="21"/>
      <c s="21"/>
      <c s="21"/>
      <c s="21"/>
      <c s="21"/>
      <c s="21"/>
      <c s="21"/>
      <c s="21"/>
      <c s="21"/>
      <c s="21"/>
      <c r="AI54" s="50"/>
      <c s="26"/>
      <c r="CA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5" spans="1:138" ht="1.5" customHeight="1">
      <c r="A55" s="21"/>
      <c s="62"/>
      <c s="63"/>
      <c s="63"/>
      <c s="63"/>
      <c s="63"/>
      <c s="63"/>
      <c s="63"/>
      <c s="63"/>
      <c s="63"/>
      <c s="63"/>
      <c s="63"/>
      <c s="63"/>
      <c s="63"/>
      <c s="63"/>
      <c s="63"/>
      <c s="63"/>
      <c s="63"/>
      <c s="63"/>
      <c s="63"/>
      <c s="63"/>
      <c s="63"/>
      <c s="63"/>
      <c s="63"/>
      <c s="63"/>
      <c s="63"/>
      <c s="63"/>
      <c s="63"/>
      <c s="63"/>
      <c s="63"/>
      <c s="63"/>
      <c s="63"/>
      <c s="63"/>
      <c s="63"/>
      <c s="63"/>
      <c s="64"/>
      <c r="CA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6" spans="79:138" ht="15">
      <c r="CA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7" spans="3:138" ht="15">
      <c r="C57" s="130" t="s">
        <v>52</v>
      </c>
      <c s="130"/>
      <c s="130"/>
      <c s="130"/>
      <c s="130"/>
      <c s="130"/>
      <c s="130"/>
      <c s="130"/>
      <c s="130"/>
      <c s="130"/>
      <c s="130"/>
      <c s="130"/>
      <c s="130"/>
      <c s="130"/>
      <c s="130"/>
      <c s="130"/>
      <c s="130"/>
      <c s="130"/>
      <c s="130"/>
      <c s="130"/>
      <c s="130"/>
      <c s="130"/>
      <c s="130"/>
      <c s="130"/>
      <c s="130"/>
      <c s="130"/>
      <c s="130"/>
      <c s="130"/>
      <c s="130"/>
      <c s="130"/>
      <c s="130"/>
      <c s="130"/>
      <c s="130"/>
      <c r="CA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8" spans="79:138" ht="15">
      <c r="CA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9" spans="4:138" ht="15">
      <c r="D59" s="79"/>
      <c r="CA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0" spans="4:138" ht="15">
      <c r="D60" s="78"/>
      <c r="CA6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1" spans="4:138" ht="15">
      <c r="D61" s="78"/>
      <c r="CA6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2" spans="79:138" ht="15">
      <c r="CA6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3" spans="79:138" ht="15">
      <c r="CA6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4" spans="79:138" ht="15">
      <c r="CA6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5" spans="79:138" ht="15">
      <c r="CA6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6" spans="79:138" ht="15">
      <c r="CA6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7" spans="79:138" ht="15">
      <c r="CA6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8" spans="79:138" ht="15">
      <c r="CA6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9" spans="79:138" ht="15">
      <c r="CA6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0" spans="79:138" ht="15">
      <c r="CA7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1" spans="79:138" ht="15">
      <c r="CA7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2" spans="79:138" ht="15">
      <c r="CA7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3" spans="79:138" ht="15">
      <c r="CA7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4" spans="79:138" ht="15">
      <c r="CA7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5" spans="79:138" ht="15">
      <c r="CA7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6" spans="79:138" ht="15">
      <c r="CA7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7" spans="79:138" ht="15">
      <c r="CA7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8" spans="79:138" ht="15">
      <c r="CA7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9" spans="79:138" ht="15">
      <c r="CA7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0" spans="79:138" ht="15">
      <c r="CA8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1" spans="79:138" ht="15">
      <c r="CA8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2" spans="79:138" ht="15">
      <c r="CA8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3" spans="79:138" ht="15">
      <c r="CA8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4" spans="79:138" ht="15">
      <c r="CA8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5" spans="79:138" ht="15">
      <c r="CA8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6" spans="79:138" ht="15">
      <c r="CA8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7" spans="79:138" ht="15">
      <c r="CA8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8" spans="79:138" ht="15">
      <c r="CA8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9" spans="79:138" ht="15">
      <c r="CA8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0" spans="79:138" ht="15">
      <c r="CA9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1" spans="79:138" ht="15">
      <c r="CA9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2" spans="79:138" ht="15">
      <c r="CA9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3" spans="79:138" ht="15">
      <c r="CA9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4" spans="79:138" ht="15">
      <c r="CA9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5" spans="79:138" ht="15">
      <c r="CA9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6" spans="79:138" ht="15">
      <c r="CA9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7" spans="79:138" ht="15">
      <c r="CA9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8" spans="79:138" ht="15">
      <c r="CA9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9" spans="79:138" ht="15">
      <c r="CA9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0" spans="79:138" ht="15">
      <c r="CA10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1" spans="1:138" ht="15">
      <c r="A101" s="20" t="s">
        <v>40</v>
      </c>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20" t="s">
        <v>37</v>
      </c>
      <c s="65"/>
      <c s="65"/>
      <c s="65"/>
      <c s="65"/>
      <c s="65"/>
      <c s="65"/>
      <c s="65"/>
      <c s="65"/>
      <c s="65"/>
      <c s="65"/>
      <c s="65"/>
      <c s="65"/>
      <c s="65"/>
      <c s="65"/>
      <c s="65"/>
      <c s="65"/>
      <c s="65"/>
      <c s="65"/>
      <c s="65"/>
      <c s="65"/>
      <c s="65" t="s">
        <v>48</v>
      </c>
      <c s="65" t="str">
        <f>IF(ISERROR(FIND("NeighMkt",$CX$102))=FALSE,"Y","N")</f>
        <v>N</v>
      </c>
      <c s="66" t="str">
        <f>'[1]Leakage Tree Data'!$A$1</f>
        <v>No_Limit_Leakage_Export</v>
      </c>
      <c s="66"/>
      <c s="66"/>
      <c s="66"/>
      <c s="66"/>
      <c s="66"/>
      <c s="66"/>
      <c s="66"/>
      <c s="66"/>
      <c s="66"/>
      <c s="66"/>
      <c s="66"/>
      <c s="66"/>
      <c s="66"/>
      <c s="66"/>
      <c s="66"/>
      <c s="66"/>
      <c s="66"/>
      <c s="66"/>
      <c s="66"/>
      <c s="66"/>
      <c s="66"/>
      <c s="66"/>
      <c s="66"/>
      <c s="66"/>
      <c s="66"/>
      <c s="66"/>
      <c s="66"/>
      <c s="66"/>
      <c s="66"/>
      <c s="66"/>
      <c s="115" t="s">
        <v>51</v>
      </c>
      <c s="115"/>
      <c s="115"/>
      <c s="115"/>
      <c s="115"/>
      <c s="115"/>
    </row>
    <row r="102" spans="1:138" ht="15">
      <c r="A10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
        <v>49</v>
      </c>
      <c s="65">
        <f>IF(ISERROR(IF(CX$111&lt;&gt;0,RIGHT(CX$111,LEN(CX$111)-FIND(" - ",CX$111)-3+1),""))=TRUE,IF(LEFT(CX111,3)="WM ","","Y"),"")</f>
      </c>
      <c s="66" t="str">
        <f>'[1]Leakage Tree Data'!$A$2</f>
        <v>Geography 2 : Total US - Target Corporate</v>
      </c>
      <c s="66"/>
      <c s="66"/>
      <c s="66"/>
      <c s="66"/>
      <c s="66"/>
      <c s="66"/>
      <c s="66"/>
      <c s="66"/>
      <c s="66"/>
      <c s="66"/>
      <c s="66"/>
      <c s="66"/>
      <c s="66"/>
      <c s="66"/>
      <c s="66"/>
      <c s="66"/>
      <c s="66"/>
      <c s="66"/>
      <c s="66"/>
      <c s="66"/>
      <c s="66"/>
      <c s="66"/>
      <c s="66"/>
      <c s="66"/>
      <c s="66"/>
      <c s="66"/>
      <c s="66"/>
      <c s="66"/>
      <c s="66"/>
      <c s="66"/>
      <c s="65"/>
      <c s="65"/>
      <c s="65"/>
      <c s="65"/>
      <c s="65"/>
      <c s="65"/>
    </row>
    <row r="103" spans="1:138" ht="15">
      <c r="A10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c s="65"/>
      <c s="66" t="str">
        <f>'[1]Leakage Tree Data'!$A$3</f>
        <v>Time : Latest 52 Weeks Ending Jan-24-2016</v>
      </c>
      <c s="66"/>
      <c s="66"/>
      <c s="66"/>
      <c s="66"/>
      <c s="66"/>
      <c s="66"/>
      <c s="66"/>
      <c s="66"/>
      <c s="66"/>
      <c s="66"/>
      <c s="66"/>
      <c s="66"/>
      <c s="66"/>
      <c s="66"/>
      <c s="66"/>
      <c s="66"/>
      <c s="66"/>
      <c s="66"/>
      <c s="66"/>
      <c s="66"/>
      <c s="66"/>
      <c s="66"/>
      <c s="66"/>
      <c s="66"/>
      <c s="66"/>
      <c s="66"/>
      <c s="66"/>
      <c s="66"/>
      <c s="66"/>
      <c s="66"/>
      <c s="65"/>
      <c s="65"/>
      <c s="65"/>
      <c s="65"/>
      <c s="65"/>
      <c s="65"/>
    </row>
    <row r="104" spans="1:138" ht="15">
      <c r="A10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c s="65"/>
      <c s="66" t="str">
        <f>'[1]Leakage Tree Data'!$A$4</f>
        <v>Product : AISLE-LAUNDRY</v>
      </c>
      <c s="66"/>
      <c s="66"/>
      <c s="66"/>
      <c s="66"/>
      <c s="66"/>
      <c s="66"/>
      <c s="66"/>
      <c s="66"/>
      <c s="66"/>
      <c s="66"/>
      <c s="66"/>
      <c s="66"/>
      <c s="66"/>
      <c s="66"/>
      <c s="66"/>
      <c s="66"/>
      <c s="66"/>
      <c s="66"/>
      <c s="66"/>
      <c s="66"/>
      <c s="66"/>
      <c s="66"/>
      <c s="66"/>
      <c s="66"/>
      <c s="66"/>
      <c s="66"/>
      <c s="66"/>
      <c s="66"/>
      <c s="66"/>
      <c s="66"/>
      <c s="65"/>
      <c s="65"/>
      <c s="65"/>
      <c s="65"/>
      <c s="65"/>
      <c s="65"/>
    </row>
    <row r="105" spans="1:141" ht="15">
      <c r="A10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75"/>
      <c s="67"/>
      <c s="67"/>
      <c s="67"/>
      <c s="67"/>
      <c s="67"/>
      <c s="67"/>
      <c s="67"/>
      <c s="67"/>
      <c s="67"/>
      <c s="67"/>
      <c s="67"/>
      <c s="67"/>
      <c s="67"/>
      <c s="66"/>
      <c s="66"/>
      <c s="66"/>
      <c s="66"/>
      <c s="66"/>
      <c s="66"/>
      <c s="66"/>
      <c s="66"/>
      <c s="66"/>
      <c s="66"/>
      <c s="66"/>
      <c s="66"/>
      <c s="66"/>
      <c s="66"/>
      <c s="66"/>
      <c s="66"/>
      <c s="66"/>
      <c s="66"/>
      <c s="66"/>
      <c s="66"/>
      <c s="66"/>
      <c s="66"/>
      <c s="66"/>
      <c s="66"/>
      <c s="66"/>
      <c s="66"/>
      <c s="66"/>
      <c s="66"/>
      <c s="66"/>
      <c s="66"/>
      <c s="66"/>
      <c s="67"/>
      <c s="67"/>
      <c s="67"/>
      <c s="67"/>
      <c s="68"/>
      <c s="68"/>
      <c s="69"/>
      <c s="69"/>
      <c s="69"/>
    </row>
    <row r="106" spans="1:141" s="37" customFormat="1" ht="15">
      <c r="A10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67"/>
      <c s="67"/>
      <c s="67"/>
      <c s="67"/>
      <c s="67"/>
      <c s="67"/>
      <c s="67"/>
      <c s="67"/>
      <c s="67"/>
      <c s="67"/>
      <c s="67"/>
      <c s="67"/>
      <c s="67"/>
      <c s="67"/>
      <c s="66" t="str">
        <f>'[1]Leakage Tree Data'!$A$5</f>
        <v>HH Demo Summary : All HH Income Per Capita</v>
      </c>
      <c s="66"/>
      <c s="66"/>
      <c s="66"/>
      <c s="66"/>
      <c s="66"/>
      <c s="66"/>
      <c s="66"/>
      <c s="66"/>
      <c s="66"/>
      <c s="66"/>
      <c s="66"/>
      <c s="66"/>
      <c s="66"/>
      <c s="66"/>
      <c s="66"/>
      <c s="66"/>
      <c s="66"/>
      <c s="66"/>
      <c s="66"/>
      <c s="66"/>
      <c s="66"/>
      <c s="66"/>
      <c s="66"/>
      <c s="66"/>
      <c s="66"/>
      <c s="66"/>
      <c s="66"/>
      <c s="66"/>
      <c s="66"/>
      <c s="66"/>
      <c s="67"/>
      <c s="67"/>
      <c s="67"/>
      <c s="67"/>
      <c s="68"/>
      <c s="68"/>
      <c s="69"/>
      <c s="69"/>
      <c s="69"/>
    </row>
    <row r="107" spans="1:141" s="37" customFormat="1" ht="15">
      <c r="A10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t="s">
        <v>44</v>
      </c>
      <c s="67"/>
      <c s="67"/>
      <c s="67"/>
      <c s="67"/>
      <c s="67"/>
      <c s="67"/>
      <c s="67"/>
      <c s="67"/>
      <c s="67"/>
      <c s="67"/>
      <c s="67">
        <f>IF(ISERROR(VLOOKUP(CV113,$AL$8:$AL$15,1,FALSE))=TRUE,IF(CB113&lt;&gt;"",IF(CB113&gt;0,IF(Z$4&lt;&gt;"",MIN(4,RANK(CB113,$CB$111:$CB$300)),RANK(CB113,$CB$111:$CB$300)),""),""),"")</f>
        <v>2</v>
      </c>
      <c s="67"/>
      <c s="67"/>
      <c s="67"/>
      <c s="67"/>
      <c s="67"/>
      <c s="67"/>
      <c s="67"/>
      <c s="67"/>
      <c s="85"/>
      <c s="67"/>
      <c s="66" t="str">
        <f>'[1]Leakage Tree Data'!$A$6</f>
        <v>Trip Mission : All Trip Missions</v>
      </c>
      <c s="66"/>
      <c s="66"/>
      <c s="66"/>
      <c s="66"/>
      <c s="66"/>
      <c s="66"/>
      <c s="66"/>
      <c s="66"/>
      <c s="66"/>
      <c s="66"/>
      <c s="66"/>
      <c s="66"/>
      <c s="66"/>
      <c s="66"/>
      <c s="66"/>
      <c s="66"/>
      <c s="66"/>
      <c s="66"/>
      <c s="66"/>
      <c s="66"/>
      <c s="66"/>
      <c s="66"/>
      <c s="66"/>
      <c s="66"/>
      <c s="66"/>
      <c s="66"/>
      <c s="66"/>
      <c s="66"/>
      <c s="66"/>
      <c s="66"/>
      <c s="67"/>
      <c s="67"/>
      <c s="67"/>
      <c s="67"/>
      <c s="68"/>
      <c s="68"/>
      <c s="69"/>
      <c s="69"/>
      <c s="69"/>
    </row>
    <row r="108" spans="1:141" s="89" customFormat="1" ht="15">
      <c r="A10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67"/>
      <c s="67"/>
      <c s="67"/>
      <c s="67"/>
      <c s="67"/>
      <c s="67"/>
      <c s="67"/>
      <c s="67"/>
      <c s="67">
        <f>IF(ISERROR(VLOOKUP(CV113,$AL$8:$AL$15,1,FALSE))=TRUE,IF(AND(ISERROR(FIND("NeighMkt",$CX$102))=FALSE,LEFT($CW$111,10)="ALL OUTLET",$CA113&lt;&gt;"",DK113&lt;&gt;""),"",IF(AND($CV113&lt;&gt;$CW113,$CW113=CH$110),$DK113,"")),"")</f>
      </c>
      <c s="67"/>
      <c s="67"/>
      <c s="67"/>
      <c s="85"/>
      <c s="67"/>
      <c s="66" t="str">
        <f>'[1]Leakage Tree Data'!$A$7</f>
        <v>Parent Company : Total (Unfiltered)</v>
      </c>
      <c s="66"/>
      <c s="66"/>
      <c s="66"/>
      <c s="66"/>
      <c s="66"/>
      <c s="66"/>
      <c s="66"/>
      <c s="66"/>
      <c s="66"/>
      <c s="66"/>
      <c s="66"/>
      <c s="66"/>
      <c s="66"/>
      <c s="66"/>
      <c s="66"/>
      <c s="66"/>
      <c s="66"/>
      <c s="66"/>
      <c s="66"/>
      <c s="66"/>
      <c s="66"/>
      <c s="66"/>
      <c s="66"/>
      <c s="66"/>
      <c s="66"/>
      <c s="66"/>
      <c s="66"/>
      <c s="66"/>
      <c s="66"/>
      <c s="66"/>
      <c s="67" t="s">
        <v>45</v>
      </c>
      <c s="67" t="s">
        <v>45</v>
      </c>
      <c s="67" t="s">
        <v>45</v>
      </c>
      <c s="67" t="s">
        <v>45</v>
      </c>
      <c s="68" t="s">
        <v>34</v>
      </c>
      <c s="68" t="s">
        <v>34</v>
      </c>
      <c s="69"/>
      <c s="69"/>
      <c s="69"/>
    </row>
    <row r="109" spans="1:141" ht="30">
      <c r="A10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70" t="s">
        <v>50</v>
      </c>
      <c s="67" t="s">
        <v>38</v>
      </c>
      <c s="67" t="s">
        <v>9</v>
      </c>
      <c s="67" t="s">
        <v>13</v>
      </c>
      <c s="67" t="s">
        <v>10</v>
      </c>
      <c s="67" t="s">
        <v>15</v>
      </c>
      <c s="67" t="s">
        <v>11</v>
      </c>
      <c s="67" t="s">
        <v>17</v>
      </c>
      <c s="67" t="s">
        <v>12</v>
      </c>
      <c s="67" t="s">
        <v>19</v>
      </c>
      <c s="67"/>
      <c s="67"/>
      <c s="67" t="s">
        <v>9</v>
      </c>
      <c s="67" t="s">
        <v>21</v>
      </c>
      <c s="67" t="s">
        <v>10</v>
      </c>
      <c s="67" t="s">
        <v>22</v>
      </c>
      <c s="67" t="s">
        <v>11</v>
      </c>
      <c s="67" t="s">
        <v>23</v>
      </c>
      <c s="67" t="s">
        <v>12</v>
      </c>
      <c s="67" t="s">
        <v>24</v>
      </c>
      <c s="67"/>
      <c s="67"/>
      <c s="66" t="str">
        <f>'[1]Leakage Tree Data'!$A$8</f>
        <v>Geography</v>
      </c>
      <c s="66" t="str">
        <f>'[1]Leakage Tree Data'!$B$8</f>
        <v>Current</v>
      </c>
      <c s="66"/>
      <c s="66"/>
      <c s="66"/>
      <c s="66"/>
      <c s="66"/>
      <c s="66"/>
      <c s="66"/>
      <c s="66"/>
      <c s="66"/>
      <c s="66"/>
      <c s="66"/>
      <c s="66"/>
      <c s="66"/>
      <c s="66"/>
      <c s="66" t="str">
        <f>'[1]Leakage Tree Data'!$Q$8</f>
        <v>Change vs YA</v>
      </c>
      <c s="66"/>
      <c s="66"/>
      <c s="66"/>
      <c s="66"/>
      <c s="66"/>
      <c s="66"/>
      <c s="66"/>
      <c s="66"/>
      <c s="66"/>
      <c s="66"/>
      <c s="66"/>
      <c s="66"/>
      <c s="66"/>
      <c s="66"/>
      <c s="67" t="s">
        <v>32</v>
      </c>
      <c s="67" t="s">
        <v>32</v>
      </c>
      <c s="67" t="s">
        <v>33</v>
      </c>
      <c s="67" t="s">
        <v>33</v>
      </c>
      <c s="68" t="s">
        <v>33</v>
      </c>
      <c s="68" t="s">
        <v>33</v>
      </c>
      <c s="165" t="s">
        <v>411</v>
      </c>
      <c s="165"/>
      <c s="69"/>
    </row>
    <row r="110" spans="1:141" ht="29.25">
      <c r="A1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8"/>
      <c s="67" t="s">
        <v>29</v>
      </c>
      <c s="67" t="s">
        <v>5</v>
      </c>
      <c s="67" t="s">
        <v>7</v>
      </c>
      <c s="67" t="str">
        <f>IF(ISERROR(VLOOKUP(1,$CC$113:$CW$300,21,FALSE))=TRUE,"",VLOOKUP(1,$CC$113:$CW$300,21,FALSE))</f>
        <v>GroceryX</v>
      </c>
      <c s="67" t="s">
        <v>14</v>
      </c>
      <c s="67" t="str">
        <f>IF(ISERROR(VLOOKUP(2,$CC$113:$CW$300,21,FALSE))=TRUE,"",VLOOKUP(2,$CC$113:$CW$300,21,FALSE))</f>
        <v>Club</v>
      </c>
      <c s="67" t="s">
        <v>16</v>
      </c>
      <c s="67" t="str">
        <f>IF(ISERROR(VLOOKUP(3,$CC$113:$CW$300,21,FALSE))=TRUE,"",VLOOKUP(3,$CC$113:$CW$300,21,FALSE))</f>
        <v>Walmart Total</v>
      </c>
      <c s="67" t="s">
        <v>18</v>
      </c>
      <c s="67" t="str">
        <f>IF($Z$4="",IF(ISERROR(VLOOKUP(4,$CC$113:$CW$300,21,FALSE))=TRUE,"",VLOOKUP(4,$CC$113:$CW$300,21,FALSE)),"All Other Outlets")</f>
        <v>All Other Outlets</v>
      </c>
      <c s="67" t="s">
        <v>20</v>
      </c>
      <c s="67" t="s">
        <v>6</v>
      </c>
      <c s="67" t="s">
        <v>8</v>
      </c>
      <c s="67" t="str">
        <f>IF(ISERROR(VLOOKUP(1,$CM$113:$CW$300,11,FALSE))=TRUE,"",VLOOKUP(1,$CM$113:$CW$300,11,FALSE))</f>
        <v>GroceryX</v>
      </c>
      <c s="67" t="s">
        <v>14</v>
      </c>
      <c s="67" t="str">
        <f>IF(ISERROR(VLOOKUP(2,$CM$113:$CW$300,11,FALSE))=TRUE,"",VLOOKUP(2,$CM$113:$CW$300,11,FALSE))</f>
        <v>Club</v>
      </c>
      <c s="67" t="s">
        <v>16</v>
      </c>
      <c s="67" t="str">
        <f>IF(ISERROR(VLOOKUP(3,$CM$113:$CW$300,11,FALSE))=TRUE,"",VLOOKUP(3,$CM$113:$CW$300,11,FALSE))</f>
        <v>Walmart Total</v>
      </c>
      <c s="67" t="s">
        <v>18</v>
      </c>
      <c s="67" t="str">
        <f>IF($Z$4="",IF(ISERROR(VLOOKUP(4,$CM$113:$CW$300,11,FALSE))=TRUE,"",VLOOKUP(4,$CM$113:$CW$300,11,FALSE)),"All Other Outlets")</f>
        <v>All Other Outlets</v>
      </c>
      <c s="67" t="s">
        <v>20</v>
      </c>
      <c s="67" t="s">
        <v>4</v>
      </c>
      <c s="67" t="s">
        <v>3</v>
      </c>
      <c s="66" t="str">
        <f>'[1]Leakage Tree Data'!$A$8</f>
        <v>Geography</v>
      </c>
      <c s="66" t="str">
        <f>'[1]Leakage Tree Data'!B9</f>
        <v>Same Outlet Parent Geography</v>
      </c>
      <c s="66" t="str">
        <f>'[1]Leakage Tree Data'!C9</f>
        <v>Segment HHs</v>
      </c>
      <c s="66" t="str">
        <f>'[1]Leakage Tree Data'!D9</f>
        <v>Retailer Shoppers</v>
      </c>
      <c s="66" t="str">
        <f>'[1]Leakage Tree Data'!E9</f>
        <v>% HHs Shopping</v>
      </c>
      <c s="66" t="str">
        <f>'[1]Leakage Tree Data'!F9</f>
        <v>HH Not Shopping</v>
      </c>
      <c s="66" t="str">
        <f>'[1]Leakage Tree Data'!G9</f>
        <v>% HH Not Shopping</v>
      </c>
      <c s="66" t="str">
        <f>'[1]Leakage Tree Data'!H9</f>
        <v>Anywhere Product Buyers (G2 Shoppers)</v>
      </c>
      <c s="66" t="str">
        <f>'[1]Leakage Tree Data'!I9</f>
        <v>Leakage Outlet Parent</v>
      </c>
      <c s="66" t="str">
        <f>'[1]Leakage Tree Data'!J9</f>
        <v>% All Outlet Buyers Unconverted (G2 Shoppers)</v>
      </c>
      <c s="66" t="str">
        <f>'[1]Leakage Tree Data'!K9</f>
        <v>Product Buyers (G2 Shoppers)</v>
      </c>
      <c s="66" t="str">
        <f>'[1]Leakage Tree Data'!L9</f>
        <v>Product Volume (G2 Converted Buyers)</v>
      </c>
      <c s="66" t="str">
        <f>'[1]Leakage Tree Data'!M9</f>
        <v>Product Volume (G2 Unconverted Buyers)</v>
      </c>
      <c s="66" t="str">
        <f>'[1]Leakage Tree Data'!N9</f>
        <v>Leakage Volume Captured (G2 Converted Buyers)</v>
      </c>
      <c s="66" t="str">
        <f>'[1]Leakage Tree Data'!O9</f>
        <v>% All Outlet Buyer Conversion Among Shoppers</v>
      </c>
      <c s="66" t="str">
        <f>'[1]Leakage Tree Data'!P9</f>
        <v>$ Opp 1 More Pt Buyer Conversion</v>
      </c>
      <c s="66" t="str">
        <f>'[1]Leakage Tree Data'!Q9</f>
        <v>Same Outlet Parent Geography</v>
      </c>
      <c s="66" t="str">
        <f>'[1]Leakage Tree Data'!R9</f>
        <v>Segment HHs</v>
      </c>
      <c s="66" t="str">
        <f>'[1]Leakage Tree Data'!S9</f>
        <v>Retailer Shoppers</v>
      </c>
      <c s="66" t="str">
        <f>'[1]Leakage Tree Data'!T9</f>
        <v>% HHs Shopping</v>
      </c>
      <c s="66" t="str">
        <f>'[1]Leakage Tree Data'!U9</f>
        <v>HH Not Shopping</v>
      </c>
      <c s="66" t="str">
        <f>'[1]Leakage Tree Data'!V9</f>
        <v>% HH Not Shopping</v>
      </c>
      <c s="66" t="str">
        <f>'[1]Leakage Tree Data'!W9</f>
        <v>Anywhere Product Buyers (G2 Shoppers)</v>
      </c>
      <c s="66" t="str">
        <f>'[1]Leakage Tree Data'!X9</f>
        <v>Leakage Outlet Parent</v>
      </c>
      <c s="66" t="str">
        <f>'[1]Leakage Tree Data'!Y9</f>
        <v>% All Outlet Buyers Unconverted (G2 Shoppers)</v>
      </c>
      <c s="66" t="str">
        <f>'[1]Leakage Tree Data'!Z9</f>
        <v>Product Buyers (G2 Shoppers)</v>
      </c>
      <c s="66" t="str">
        <f>'[1]Leakage Tree Data'!AA9</f>
        <v>Product Volume (G2 Converted Buyers)</v>
      </c>
      <c s="66" t="str">
        <f>'[1]Leakage Tree Data'!AB9</f>
        <v>Product Volume (G2 Unconverted Buyers)</v>
      </c>
      <c s="66" t="str">
        <f>'[1]Leakage Tree Data'!AC9</f>
        <v>Leakage Volume Captured (G2 Converted Buyers)</v>
      </c>
      <c s="66" t="str">
        <f>'[1]Leakage Tree Data'!AD9</f>
        <v>% All Outlet Buyer Conversion Among Shoppers</v>
      </c>
      <c s="66" t="str">
        <f>'[1]Leakage Tree Data'!AE9</f>
        <v>$ Opp 1 More Pt Buyer Conversion</v>
      </c>
      <c s="67" t="s">
        <v>30</v>
      </c>
      <c s="67" t="s">
        <v>31</v>
      </c>
      <c s="67" t="s">
        <v>30</v>
      </c>
      <c s="67" t="s">
        <v>31</v>
      </c>
      <c s="71" t="s">
        <v>36</v>
      </c>
      <c s="71" t="s">
        <v>35</v>
      </c>
      <c s="69" t="s">
        <v>4</v>
      </c>
      <c s="69" t="s">
        <v>34</v>
      </c>
      <c s="69"/>
    </row>
    <row r="111" spans="1:141" ht="15">
      <c r="A1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tr">
        <f>IF(ISERROR(IF(EI111&lt;&gt;0,RIGHT(EI111,LEN(EI111)-IF(ISERROR(FIND(" - ",SUBSTITUTE(EI111," - ","^^^",1)))=FALSE,FIND(" - ",SUBSTITUTE(EI111," - ","^^^",1)),FIND(" - ",EI111))-3+1),""))=FALSE,IF(EI111&lt;&gt;0,RIGHT(EI111,LEN(EI111)-IF(ISERROR(FIND(" - ",SUBSTITUTE(EI111," - ","^^^",1)))=FALSE,FIND(" - ",SUBSTITUTE(EI111," - ","^^^",1)),FIND(" - ",EI111))-3+1),""),EI111)</f>
        <v>Target Corporate</v>
      </c>
      <c s="114" t="str">
        <f>DF111</f>
        <v>MassX and SupercenterX</v>
      </c>
      <c s="72" t="str">
        <f>IF('[1]Leakage Tree Data'!A10&lt;&gt;"",'[1]Leakage Tree Data'!A10,"")</f>
        <v>Total US - Target Corporate</v>
      </c>
      <c s="72" t="str">
        <f>IF('[1]Leakage Tree Data'!B10&lt;&gt;"",'[1]Leakage Tree Data'!B10,"")</f>
        <v>Total US - MassX and SupercenterX</v>
      </c>
      <c s="72">
        <f>IF('[1]Leakage Tree Data'!C10&lt;&gt;"",'[1]Leakage Tree Data'!C10,"")</f>
        <v>121171760.292236</v>
      </c>
      <c s="72">
        <f>IF('[1]Leakage Tree Data'!D10&lt;&gt;"",'[1]Leakage Tree Data'!D10,"")</f>
        <v>67139996.1974487</v>
      </c>
      <c s="72">
        <f>IF('[1]Leakage Tree Data'!E10&lt;&gt;"",'[1]Leakage Tree Data'!E10,"")</f>
        <v>55.4089468004126</v>
      </c>
      <c s="72">
        <f>IF('[1]Leakage Tree Data'!F10&lt;&gt;"",'[1]Leakage Tree Data'!F10,"")</f>
        <v>54031764.0947876</v>
      </c>
      <c s="72">
        <f>IF('[1]Leakage Tree Data'!G10&lt;&gt;"",'[1]Leakage Tree Data'!G10,"")</f>
        <v>44.5910531995874</v>
      </c>
      <c s="72">
        <f>IF('[1]Leakage Tree Data'!H10&lt;&gt;"",'[1]Leakage Tree Data'!H10,"")</f>
        <v>61518209.9918823</v>
      </c>
      <c s="72" t="str">
        <f>IF('[1]Leakage Tree Data'!I10&lt;&gt;"",'[1]Leakage Tree Data'!I10,"")</f>
        <v>MassX and SupercenterX</v>
      </c>
      <c s="72">
        <f>IF('[1]Leakage Tree Data'!J10&lt;&gt;"",'[1]Leakage Tree Data'!J10,"")</f>
        <v>73.1552400555661</v>
      </c>
      <c s="72">
        <f>IF('[1]Leakage Tree Data'!K10&lt;&gt;"",'[1]Leakage Tree Data'!K10,"")</f>
        <v>16514415.7944336</v>
      </c>
      <c s="72">
        <f>IF('[1]Leakage Tree Data'!L10&lt;&gt;"",'[1]Leakage Tree Data'!L10,"")</f>
        <v>244721367.615505</v>
      </c>
      <c s="72">
        <f>IF('[1]Leakage Tree Data'!M10&lt;&gt;"",'[1]Leakage Tree Data'!M10,"")</f>
      </c>
      <c s="72">
        <f>IF('[1]Leakage Tree Data'!N10&lt;&gt;"",'[1]Leakage Tree Data'!N10,"")</f>
        <v>0</v>
      </c>
      <c s="72">
        <f>IF('[1]Leakage Tree Data'!O10&lt;&gt;"",'[1]Leakage Tree Data'!O10,"")</f>
        <v>26.844759944434</v>
      </c>
      <c s="72">
        <f>IF('[1]Leakage Tree Data'!P10&lt;&gt;"",'[1]Leakage Tree Data'!P10,"")</f>
        <v>16876764.4116231</v>
      </c>
      <c s="72">
        <f>IF('[1]Leakage Tree Data'!Q10&lt;&gt;"",'[1]Leakage Tree Data'!Q10,"")</f>
      </c>
      <c s="72">
        <f>IF('[1]Leakage Tree Data'!R10&lt;&gt;"",'[1]Leakage Tree Data'!R10,"")</f>
        <v>1017625.85098267</v>
      </c>
      <c s="72">
        <f>IF('[1]Leakage Tree Data'!S10&lt;&gt;"",'[1]Leakage Tree Data'!S10,"")</f>
        <v>-1260400.19039917</v>
      </c>
      <c s="72">
        <f>IF('[1]Leakage Tree Data'!T10&lt;&gt;"",'[1]Leakage Tree Data'!T10,"")</f>
        <v>-1.51826315863424</v>
      </c>
      <c s="72">
        <f>IF('[1]Leakage Tree Data'!U10&lt;&gt;"",'[1]Leakage Tree Data'!U10,"")</f>
        <v>2278026.04138184</v>
      </c>
      <c s="72">
        <f>IF('[1]Leakage Tree Data'!V10&lt;&gt;"",'[1]Leakage Tree Data'!V10,"")</f>
        <v>1.51826315863424</v>
      </c>
      <c s="72">
        <f>IF('[1]Leakage Tree Data'!W10&lt;&gt;"",'[1]Leakage Tree Data'!W10,"")</f>
        <v>-1855949.2237854</v>
      </c>
      <c s="72">
        <f>IF('[1]Leakage Tree Data'!X10&lt;&gt;"",'[1]Leakage Tree Data'!X10,"")</f>
      </c>
      <c s="72">
        <f>IF('[1]Leakage Tree Data'!Y10&lt;&gt;"",'[1]Leakage Tree Data'!Y10,"")</f>
        <v>2.05894377096612</v>
      </c>
      <c s="72">
        <f>IF('[1]Leakage Tree Data'!Z10&lt;&gt;"",'[1]Leakage Tree Data'!Z10,"")</f>
        <v>-1803063.41738892</v>
      </c>
      <c s="72">
        <f>IF('[1]Leakage Tree Data'!AA10&lt;&gt;"",'[1]Leakage Tree Data'!AA10,"")</f>
        <v>-45103061.7511234</v>
      </c>
      <c s="72">
        <f>IF('[1]Leakage Tree Data'!AB10&lt;&gt;"",'[1]Leakage Tree Data'!AB10,"")</f>
      </c>
      <c s="72">
        <f>IF('[1]Leakage Tree Data'!AC10&lt;&gt;"",'[1]Leakage Tree Data'!AC10,"")</f>
        <v>0</v>
      </c>
      <c s="72">
        <f>IF('[1]Leakage Tree Data'!AD10&lt;&gt;"",'[1]Leakage Tree Data'!AD10,"")</f>
        <v>-2.05894377096612</v>
      </c>
      <c s="72">
        <f>IF('[1]Leakage Tree Data'!AE10&lt;&gt;"",'[1]Leakage Tree Data'!AE10,"")</f>
      </c>
      <c s="73"/>
      <c s="73"/>
      <c s="73"/>
      <c s="73"/>
      <c s="74"/>
      <c s="74"/>
      <c s="69" t="str">
        <f>IF(CX111&lt;&gt;"",IF(CW$102&lt;&gt;"Y",IF(ISERROR(FIND(" - ",CX111))=FALSE,CX111,SUBSTITUTE(CX111,"-"," - ")),CX111),"")</f>
        <v>Total US - Target Corporate</v>
      </c>
      <c s="69" t="str">
        <f>IF(CX111&lt;&gt;"",IF(CW$102&lt;&gt;"Y",IF(ISERROR(FIND(" - ",CY111))=FALSE,CY111,SUBSTITUTE(CY111,"-"," - ")),CY111),"")</f>
        <v>Total US - MassX and SupercenterX</v>
      </c>
      <c s="69"/>
    </row>
    <row r="112" spans="1:140" ht="15">
      <c r="A1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tr">
        <f>IF(ISERROR(RIGHT(EI112,LEN(EI112)-IF(ISERROR(FIND(" - ",SUBSTITUTE(EI112," - ","^^^",1)))=FALSE,FIND(" - ",SUBSTITUTE(EI112," - ","^^^",1)),FIND(" - ",EI112))-3+1))=FALSE,RIGHT(EI112,LEN(EI112)-IF(ISERROR(FIND(" - ",SUBSTITUTE(EI112," - ","^^^",1)))=FALSE,FIND(" - ",SUBSTITUTE(EI112," - ","^^^",1)),FIND(" - ",EI112))-3+1),"")</f>
        <v>All Outlets</v>
      </c>
      <c s="65" t="str">
        <f>IF(EJ112&lt;&gt;"",RIGHT(EJ112,LEN(EJ112)-IF(ISERROR(FIND(" - ",SUBSTITUTE(EJ112," - ","^^^",1)))=FALSE,FIND(" - ",SUBSTITUTE(EJ112," - ","^^^",1)),FIND(" - ",EJ112))-3+1),"")</f>
        <v>All Outlets</v>
      </c>
      <c s="72" t="str">
        <f>IF('[1]Leakage Tree Data'!A11&lt;&gt;"",'[1]Leakage Tree Data'!A11,"")</f>
        <v>Total US - All Outlets</v>
      </c>
      <c s="72" t="str">
        <f>IF('[1]Leakage Tree Data'!B11&lt;&gt;"",'[1]Leakage Tree Data'!B11,"")</f>
        <v>Total US - All Outlets</v>
      </c>
      <c s="72">
        <f>IF('[1]Leakage Tree Data'!C11&lt;&gt;"",'[1]Leakage Tree Data'!C11,"")</f>
        <v>121171760.292236</v>
      </c>
      <c s="72">
        <f>IF('[1]Leakage Tree Data'!D11&lt;&gt;"",'[1]Leakage Tree Data'!D11,"")</f>
        <v>121171760.292236</v>
      </c>
      <c s="72">
        <f>IF('[1]Leakage Tree Data'!E11&lt;&gt;"",'[1]Leakage Tree Data'!E11,"")</f>
        <v>100</v>
      </c>
      <c s="72">
        <f>IF('[1]Leakage Tree Data'!F11&lt;&gt;"",'[1]Leakage Tree Data'!F11,"")</f>
        <v>0</v>
      </c>
      <c s="72">
        <f>IF('[1]Leakage Tree Data'!G11&lt;&gt;"",'[1]Leakage Tree Data'!G11,"")</f>
        <v>0</v>
      </c>
      <c s="72">
        <f>IF('[1]Leakage Tree Data'!H11&lt;&gt;"",'[1]Leakage Tree Data'!H11,"")</f>
        <v>61518209.9918823</v>
      </c>
      <c s="72" t="str">
        <f>IF('[1]Leakage Tree Data'!I11&lt;&gt;"",'[1]Leakage Tree Data'!I11,"")</f>
        <v>All Outlets</v>
      </c>
      <c s="72">
        <f>IF('[1]Leakage Tree Data'!J11&lt;&gt;"",'[1]Leakage Tree Data'!J11,"")</f>
        <v>0</v>
      </c>
      <c s="72">
        <f>IF('[1]Leakage Tree Data'!K11&lt;&gt;"",'[1]Leakage Tree Data'!K11,"")</f>
        <v>61518209.9918823</v>
      </c>
      <c s="72">
        <f>IF('[1]Leakage Tree Data'!L11&lt;&gt;"",'[1]Leakage Tree Data'!L11,"")</f>
        <v>780900029.86931</v>
      </c>
      <c s="72">
        <f>IF('[1]Leakage Tree Data'!M11&lt;&gt;"",'[1]Leakage Tree Data'!M11,"")</f>
        <v>1805462067.56759</v>
      </c>
      <c s="72">
        <f>IF('[1]Leakage Tree Data'!N11&lt;&gt;"",'[1]Leakage Tree Data'!N11,"")</f>
        <v>536178662.253805</v>
      </c>
      <c s="72">
        <f>IF('[1]Leakage Tree Data'!O11&lt;&gt;"",'[1]Leakage Tree Data'!O11,"")</f>
        <v>100</v>
      </c>
      <c s="72">
        <f>IF('[1]Leakage Tree Data'!P11&lt;&gt;"",'[1]Leakage Tree Data'!P11,"")</f>
      </c>
      <c s="72">
        <f>IF('[1]Leakage Tree Data'!Q11&lt;&gt;"",'[1]Leakage Tree Data'!Q11,"")</f>
      </c>
      <c s="72">
        <f>IF('[1]Leakage Tree Data'!R11&lt;&gt;"",'[1]Leakage Tree Data'!R11,"")</f>
        <v>1017625.85098267</v>
      </c>
      <c s="72">
        <f>IF('[1]Leakage Tree Data'!S11&lt;&gt;"",'[1]Leakage Tree Data'!S11,"")</f>
        <v>1017625.85098267</v>
      </c>
      <c s="72">
        <f>IF('[1]Leakage Tree Data'!T11&lt;&gt;"",'[1]Leakage Tree Data'!T11,"")</f>
        <v>0</v>
      </c>
      <c s="72">
        <f>IF('[1]Leakage Tree Data'!U11&lt;&gt;"",'[1]Leakage Tree Data'!U11,"")</f>
        <v>0</v>
      </c>
      <c s="72">
        <f>IF('[1]Leakage Tree Data'!V11&lt;&gt;"",'[1]Leakage Tree Data'!V11,"")</f>
        <v>0</v>
      </c>
      <c s="72">
        <f>IF('[1]Leakage Tree Data'!W11&lt;&gt;"",'[1]Leakage Tree Data'!W11,"")</f>
        <v>-1855949.2237854</v>
      </c>
      <c s="72">
        <f>IF('[1]Leakage Tree Data'!X11&lt;&gt;"",'[1]Leakage Tree Data'!X11,"")</f>
      </c>
      <c s="72">
        <f>IF('[1]Leakage Tree Data'!Y11&lt;&gt;"",'[1]Leakage Tree Data'!Y11,"")</f>
        <v>0</v>
      </c>
      <c s="72">
        <f>IF('[1]Leakage Tree Data'!Z11&lt;&gt;"",'[1]Leakage Tree Data'!Z11,"")</f>
        <v>-1855949.2237854</v>
      </c>
      <c s="72">
        <f>IF('[1]Leakage Tree Data'!AA11&lt;&gt;"",'[1]Leakage Tree Data'!AA11,"")</f>
        <v>-155231933.90303</v>
      </c>
      <c s="72">
        <f>IF('[1]Leakage Tree Data'!AB11&lt;&gt;"",'[1]Leakage Tree Data'!AB11,"")</f>
        <v>-87366926.1142564</v>
      </c>
      <c s="72">
        <f>IF('[1]Leakage Tree Data'!AC11&lt;&gt;"",'[1]Leakage Tree Data'!AC11,"")</f>
        <v>-110128872.151907</v>
      </c>
      <c s="72">
        <f>IF('[1]Leakage Tree Data'!AD11&lt;&gt;"",'[1]Leakage Tree Data'!AD11,"")</f>
        <v>0</v>
      </c>
      <c s="72">
        <f>IF('[1]Leakage Tree Data'!AE11&lt;&gt;"",'[1]Leakage Tree Data'!AE11,"")</f>
      </c>
      <c s="73"/>
      <c s="73"/>
      <c s="73"/>
      <c s="73"/>
      <c s="74"/>
      <c s="74"/>
      <c s="69" t="str">
        <f t="shared" ref="EI112:EI175" si="0">IF(CX112&lt;&gt;"",IF(CW$102&lt;&gt;"Y",IF(ISERROR(FIND(" - ",CX112))=FALSE,CX112,SUBSTITUTE(CX112,"-"," - ")),CX112),"")</f>
        <v>Total US - All Outlets</v>
      </c>
      <c s="69" t="str">
        <f t="shared" ref="EJ112:EJ175" si="1">IF(CX112&lt;&gt;"",IF(CW$102&lt;&gt;"Y",IF(ISERROR(FIND(" - ",CY112))=FALSE,CY112,SUBSTITUTE(CY112,"-"," - ")),CY112),"")</f>
        <v>Total US - All Outlets</v>
      </c>
    </row>
    <row r="113" spans="1:141" ht="15">
      <c r="A1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IF(ISERROR(FIND("Walmart",CV113))=FALSE,CW113,"")</f>
      </c>
      <c s="75">
        <f>IF(ISERROR(VLOOKUP(CV113,$AL$8:$AL$15,1,FALSE))=TRUE,IF(AND(CV113=CW113,CV113&lt;&gt;"",DI$111&lt;&gt;"",DK113&lt;&gt;""),IF(CW$101="Y",DK113-IF(ISERROR(VLOOKUP(CV113,$CA$113:$DK$300,37,FALSE))=TRUE,0,IF(VLOOKUP(CV113,$CA$113:$DK$300,37,FALSE)="",0,VLOOKUP(CV113,$CA$113:$DK$300,37,FALSE))),DK113-IF(AND(CW$102="Y",CV113=$CW$111),DI$111,0)),""),"")</f>
        <v>125375169.562042</v>
      </c>
      <c s="76">
        <f>IF(ISERROR(VLOOKUP(CV113,$AL$8:$AL$15,1,FALSE))=TRUE,IF(CB113&lt;&gt;"",IF(CB113&gt;0,IF(Z$4&lt;&gt;"",MIN(4,RANK(CB113,$CB$111:$CB$300)),RANK(CB113,$CB$111:$CB$300)),""),""),"")</f>
        <v>2</v>
      </c>
      <c s="75">
        <f>IF(ISERROR(VLOOKUP(CV113,$AL$8:$AL$15,1,FALSE))=TRUE,IF(AND(ISERROR(FIND("NeighMkt",$CX$102))=FALSE,LEFT($CW$111,10)="ALL OUTLET",$CA113&lt;&gt;"",DK113&lt;&gt;""),"",IF(AND($CV113&lt;&gt;$CW113,$CW113=CD$110),$DK113,"")),"")</f>
      </c>
      <c s="76">
        <f>IF(ISERROR(VLOOKUP(CV113,$AL$8:$AL$15,1,FALSE))=TRUE,IF(CD113&lt;&gt;"",IF(CD113&gt;0,RANK(CD113,$CD$111:$CD$300),""),""),"")</f>
      </c>
      <c s="75">
        <f>IF(ISERROR(VLOOKUP(CV113,$AL$8:$AL$15,1,FALSE))=TRUE,IF(AND(ISERROR(FIND("NeighMkt",$CX$102))=FALSE,LEFT($CW$111,10)="ALL OUTLET",$CA113&lt;&gt;"",DK113&lt;&gt;""),"",IF(AND($CV113&lt;&gt;$CW113,$CW113=CF$110),$DK113,"")),"")</f>
      </c>
      <c s="76">
        <f>IF(ISERROR(VLOOKUP(CV113,$AL$8:$AL$15,1,FALSE))=TRUE,IF(CF113&lt;&gt;"",IF(CF113&gt;0,RANK(CF113,$CF$111:$CF$300),""),""),"")</f>
      </c>
      <c s="75">
        <f>IF(ISERROR(VLOOKUP(CV113,$AL$8:$AL$15,1,FALSE))=TRUE,IF(AND(ISERROR(FIND("NeighMkt",$CX$102))=FALSE,LEFT($CW$111,10)="ALL OUTLET",$CA113&lt;&gt;"",DK113&lt;&gt;""),"",IF(AND($CV113&lt;&gt;$CW113,$CW113=CH$110),$DK113,"")),"")</f>
      </c>
      <c s="76">
        <f>IF(ISERROR(VLOOKUP(CV113,$AL$8:$AL$15,1,FALSE))=TRUE,IF(CH113&lt;&gt;"",IF(CH113&gt;0,RANK(CH113,$CH$111:$CH$300),""),""),"")</f>
      </c>
      <c s="75">
        <f>IF(ISERROR(VLOOKUP(CV113,$AL$8:$AL$15,1,FALSE))=TRUE,IF(AND(ISERROR(FIND("NeighMkt",$CX$102))=FALSE,LEFT($CW$111,10)="ALL OUTLET",$CA113&lt;&gt;"",DK113&lt;&gt;""),"",IF($Z$4="",IF(AND($CV113&lt;&gt;$CW113,$CW113=CJ$110),$DK113,""),IF(AND($CV113&lt;&gt;$CW113,$CW113&lt;&gt;CD$110,$CW113&lt;&gt;CF$110,$CW113&lt;&gt;CH$110,$CW113&lt;&gt;$CV$111),$DK113,""))),"")</f>
      </c>
      <c s="76">
        <f>IF(ISERROR(VLOOKUP(CV113,$AL$8:$AL$15,1,FALSE))=TRUE,IF(CJ113&lt;&gt;"",IF(CJ113&gt;0,RANK(CJ113,$CJ$111:$CJ$300),""),""),"")</f>
      </c>
      <c s="75">
        <f>IF(ISERROR(VLOOKUP(CV113,$AL$8:$AL$15,1,FALSE))=TRUE,IF(AND(CV113=CW113,CV113&lt;&gt;"",DJ113&lt;&gt;""),IF(AND(ISERROR(FIND("NeighMkt",$CX$102))=FALSE,LEFT($CW$111,10)="ALL OUTLET"),DJ113-IF(ISERROR(VLOOKUP(CV113,$CA$113:$DK$300,36,FALSE))=TRUE,0,IF(VLOOKUP(CV113,$CA$113:$DK$300,36,FALSE)="",0,VLOOKUP(CV113,$CA$113:$DK$300,36,FALSE))),DJ113),""),"")</f>
        <v>425359948.164246</v>
      </c>
      <c s="76">
        <f>IF(ISERROR(VLOOKUP(CV113,$AL$8:$AL$15,1,FALSE))=TRUE,IF(CL113&lt;&gt;"",IF(CL113&gt;0,IF($Z$4&lt;&gt;"",MIN(4,RANK(CL113,$CL$111:$CL$300)),RANK(CL113,$CL$111:$CL$300)),""),""),"")</f>
        <v>2</v>
      </c>
      <c s="75">
        <f>IF(ISERROR(VLOOKUP(CV113,$AL$8:$AL$15,1,FALSE))=TRUE,IF(AND(ISERROR(FIND("NeighMkt",$CX$102))=FALSE,LEFT($CW$111,10)="ALL OUTLET",$CA113&lt;&gt;"",DJ113&lt;&gt;""),"",IF(AND($CV113&lt;&gt;$CW113,$CW113=CN$110),$DJ113,"")),"")</f>
      </c>
      <c s="76">
        <f>IF(ISERROR(VLOOKUP(CV113,$AL$8:$AL$15,1,FALSE))=TRUE,IF(CN113&lt;&gt;"",IF(CN113&gt;0,RANK(CN113,$CN$111:$CN$300),""),""),"")</f>
      </c>
      <c s="75">
        <f>IF(ISERROR(VLOOKUP(CV113,$AL$8:$AL$15,1,FALSE))=TRUE,IF(AND(ISERROR(FIND("NeighMkt",$CX$102))=FALSE,LEFT($CW$111,10)="ALL OUTLET",$CA113&lt;&gt;"",DJ113&lt;&gt;""),"",IF(AND($CV113&lt;&gt;$CW113,$CW113=CP$110),$DJ113,"")),"")</f>
      </c>
      <c s="76">
        <f>IF(ISERROR(VLOOKUP(CV113,$AL$8:$AL$15,1,FALSE))=TRUE,IF(CP113&lt;&gt;"",IF(CP113&gt;0,RANK(CP113,$CP$111:$CP$300),""),""),"")</f>
      </c>
      <c s="75">
        <f>IF(ISERROR(VLOOKUP(CV113,$AL$8:$AL$15,1,FALSE))=TRUE,IF(AND(ISERROR(FIND("NeighMkt",$CX$102))=FALSE,LEFT($CW$111,10)="ALL OUTLET",$CA113&lt;&gt;"",DJ113&lt;&gt;""),"",IF(AND($CV113&lt;&gt;$CW113,$CW113=CR$110),$DJ113,"")),"")</f>
      </c>
      <c s="76">
        <f>IF(ISERROR(VLOOKUP(CV113,$AL$8:$AL$15,1,FALSE))=TRUE,IF(CR113&lt;&gt;"",IF(CR113&gt;0,RANK(CR113,$CR$111:$CR$300),""),""),"")</f>
      </c>
      <c s="75">
        <f>IF(ISERROR(VLOOKUP(CV113,$AL$8:$AL$15,1,FALSE))=TRUE,IF(AND(ISERROR(FIND("NeighMkt",$CX$102))=FALSE,LEFT($CW$111,10)="ALL OUTLET",$CA113&lt;&gt;"",DJ113&lt;&gt;""),"",IF($Z$4="",IF(AND($CV113&lt;&gt;$CW113,$CW113=CT$110),$DJ113,""),IF(AND($CV113&lt;&gt;$CW113,$CW113&lt;&gt;CN$110,$CW113&lt;&gt;CP$110,$CW113&lt;&gt;CR$110,$CW113&lt;&gt;$CV$111),$DJ113,""))),"")</f>
      </c>
      <c s="76">
        <f>IF(ISERROR(VLOOKUP(CV113,$AL$8:$AL$15,1,FALSE))=TRUE,IF(CT113&lt;&gt;"",IF(CT113&gt;0,RANK(CT113,$CT$111:$CT$300),""),""),"")</f>
      </c>
      <c s="65" t="str">
        <f t="shared" ref="CV113:CV176" si="2">IF(ISERROR(RIGHT(EI113,LEN(EI113)-IF(ISERROR(FIND(" - ",SUBSTITUTE(EI113," - ","^^^",1)))=FALSE,FIND(" - ",SUBSTITUTE(EI113," - ","^^^",1)),FIND(" - ",EI113))-3+1))=FALSE,RIGHT(EI113,LEN(EI113)-IF(ISERROR(FIND(" - ",SUBSTITUTE(EI113," - ","^^^",1)))=FALSE,FIND(" - ",SUBSTITUTE(EI113," - ","^^^",1)),FIND(" - ",EI113))-3+1),"")</f>
        <v>Club</v>
      </c>
      <c s="65" t="str">
        <f t="shared" ref="CW113:CW176" si="3">IF(EJ113&lt;&gt;"",RIGHT(EJ113,LEN(EJ113)-IF(ISERROR(FIND(" - ",SUBSTITUTE(EJ113," - ","^^^",1)))=FALSE,FIND(" - ",SUBSTITUTE(EJ113," - ","^^^",1)),FIND(" - ",EJ113))-3+1),"")</f>
        <v>Club</v>
      </c>
      <c s="72" t="str">
        <f>IF('[1]Leakage Tree Data'!A12&lt;&gt;"",'[1]Leakage Tree Data'!A12,"")</f>
        <v>Total US - Club</v>
      </c>
      <c s="72" t="str">
        <f>IF('[1]Leakage Tree Data'!B12&lt;&gt;"",'[1]Leakage Tree Data'!B12,"")</f>
        <v>Total US - Club</v>
      </c>
      <c s="72">
        <f>IF('[1]Leakage Tree Data'!C12&lt;&gt;"",'[1]Leakage Tree Data'!C12,"")</f>
        <v>121171760.292236</v>
      </c>
      <c s="72">
        <f>IF('[1]Leakage Tree Data'!D12&lt;&gt;"",'[1]Leakage Tree Data'!D12,"")</f>
        <v>64718222.1340942</v>
      </c>
      <c s="72">
        <f>IF('[1]Leakage Tree Data'!E12&lt;&gt;"",'[1]Leakage Tree Data'!E12,"")</f>
        <v>53.4103176994457</v>
      </c>
      <c s="72">
        <f>IF('[1]Leakage Tree Data'!F12&lt;&gt;"",'[1]Leakage Tree Data'!F12,"")</f>
        <v>56453538.1581421</v>
      </c>
      <c s="72">
        <f>IF('[1]Leakage Tree Data'!G12&lt;&gt;"",'[1]Leakage Tree Data'!G12,"")</f>
        <v>46.5896823005543</v>
      </c>
      <c s="72">
        <f>IF('[1]Leakage Tree Data'!H12&lt;&gt;"",'[1]Leakage Tree Data'!H12,"")</f>
        <v>61518209.9918823</v>
      </c>
      <c s="72" t="str">
        <f>IF('[1]Leakage Tree Data'!I12&lt;&gt;"",'[1]Leakage Tree Data'!I12,"")</f>
        <v>Club</v>
      </c>
      <c s="72">
        <f>IF('[1]Leakage Tree Data'!J12&lt;&gt;"",'[1]Leakage Tree Data'!J12,"")</f>
        <v>71.9835231653734</v>
      </c>
      <c s="72">
        <f>IF('[1]Leakage Tree Data'!K12&lt;&gt;"",'[1]Leakage Tree Data'!K12,"")</f>
        <v>17235235.0514526</v>
      </c>
      <c s="72">
        <f>IF('[1]Leakage Tree Data'!L12&lt;&gt;"",'[1]Leakage Tree Data'!L12,"")</f>
        <v>125375169.562042</v>
      </c>
      <c s="72">
        <f>IF('[1]Leakage Tree Data'!M12&lt;&gt;"",'[1]Leakage Tree Data'!M12,"")</f>
        <v>425359948.164246</v>
      </c>
      <c s="72">
        <f>IF('[1]Leakage Tree Data'!N12&lt;&gt;"",'[1]Leakage Tree Data'!N12,"")</f>
        <v>125375169.562042</v>
      </c>
      <c s="72">
        <f>IF('[1]Leakage Tree Data'!O12&lt;&gt;"",'[1]Leakage Tree Data'!O12,"")</f>
        <v>43.5480660563332</v>
      </c>
      <c s="72">
        <f>IF('[1]Leakage Tree Data'!P12&lt;&gt;"",'[1]Leakage Tree Data'!P12,"")</f>
        <v>25285757.7107018</v>
      </c>
      <c s="72">
        <f>IF('[1]Leakage Tree Data'!Q12&lt;&gt;"",'[1]Leakage Tree Data'!Q12,"")</f>
      </c>
      <c s="72">
        <f>IF('[1]Leakage Tree Data'!R12&lt;&gt;"",'[1]Leakage Tree Data'!R12,"")</f>
        <v>1017625.85098267</v>
      </c>
      <c s="72">
        <f>IF('[1]Leakage Tree Data'!S12&lt;&gt;"",'[1]Leakage Tree Data'!S12,"")</f>
        <v>399802.228637695</v>
      </c>
      <c s="72">
        <f>IF('[1]Leakage Tree Data'!T12&lt;&gt;"",'[1]Leakage Tree Data'!T12,"")</f>
        <v>-0.119608844116883</v>
      </c>
      <c s="72">
        <f>IF('[1]Leakage Tree Data'!U12&lt;&gt;"",'[1]Leakage Tree Data'!U12,"")</f>
        <v>617823.622344971</v>
      </c>
      <c s="72">
        <f>IF('[1]Leakage Tree Data'!V12&lt;&gt;"",'[1]Leakage Tree Data'!V12,"")</f>
        <v>0.119608844116883</v>
      </c>
      <c s="72">
        <f>IF('[1]Leakage Tree Data'!W12&lt;&gt;"",'[1]Leakage Tree Data'!W12,"")</f>
        <v>-1855949.2237854</v>
      </c>
      <c s="72">
        <f>IF('[1]Leakage Tree Data'!X12&lt;&gt;"",'[1]Leakage Tree Data'!X12,"")</f>
      </c>
      <c s="72">
        <f>IF('[1]Leakage Tree Data'!Y12&lt;&gt;"",'[1]Leakage Tree Data'!Y12,"")</f>
        <v>-0.0717617079024819</v>
      </c>
      <c s="72">
        <f>IF('[1]Leakage Tree Data'!Z12&lt;&gt;"",'[1]Leakage Tree Data'!Z12,"")</f>
        <v>-474493.205322266</v>
      </c>
      <c s="72">
        <f>IF('[1]Leakage Tree Data'!AA12&lt;&gt;"",'[1]Leakage Tree Data'!AA12,"")</f>
        <v>-20949862.1638031</v>
      </c>
      <c s="72">
        <f>IF('[1]Leakage Tree Data'!AB12&lt;&gt;"",'[1]Leakage Tree Data'!AB12,"")</f>
        <v>-13723169.0442581</v>
      </c>
      <c s="72">
        <f>IF('[1]Leakage Tree Data'!AC12&lt;&gt;"",'[1]Leakage Tree Data'!AC12,"")</f>
        <v>-20949862.1638031</v>
      </c>
      <c s="72">
        <f>IF('[1]Leakage Tree Data'!AD12&lt;&gt;"",'[1]Leakage Tree Data'!AD12,"")</f>
        <v>-0.247508380577806</v>
      </c>
      <c s="72">
        <f>IF('[1]Leakage Tree Data'!AE12&lt;&gt;"",'[1]Leakage Tree Data'!AE12,"")</f>
      </c>
      <c s="73">
        <f t="shared" ref="EC113:EC144" si="4">IF(AND(CV113=CW113,CV113&lt;&gt;"",DJ113&lt;&gt;""),IF(AND(ISERROR(FIND("NeighMkt",$CX$102))=FALSE,LEFT($CW$111,10)="ALL OUTLET"),DJ113-IF(ISERROR(VLOOKUP(CV113,$CA$113:$DK$300,36,FALSE))=TRUE,0,IF(VLOOKUP(CV113,$CA$113:$DK$300,36,FALSE)="",0,VLOOKUP(CV113,$CA$113:$DK$300,36,FALSE))),DJ113),"")</f>
        <v>425359948.164246</v>
      </c>
      <c s="73">
        <f t="shared" ref="ED113:ED144" si="5">IF(AND(CV113=CW113,CV113&lt;&gt;"",DI$111&lt;&gt;"",DK113&lt;&gt;""),IF(CW$101="Y",DK113-IF(ISERROR(VLOOKUP(CV113,$CA$113:$DK$300,37,FALSE))=TRUE,0,IF(VLOOKUP(CV113,$CA$113:$DK$300,37,FALSE)="",0,VLOOKUP(CV113,$CA$113:$DK$300,37,FALSE))),DK113-IF(AND(CW$102="Y",CV113=$CW$111),DI$111,0)),"")</f>
        <v>125375169.562042</v>
      </c>
      <c s="73">
        <f t="shared" ref="EE113:EE144" si="6">IF(AND(CV113=CW113,CV113&lt;&gt;"",DJ113&lt;&gt;"",DY113&lt;&gt;""),IF(AND(ISERROR(FIND("NeighMkt",$CX$102))=FALSE,LEFT($CW$111,10)="ALL OUTLET"),DY113-IF(ISERROR(VLOOKUP(CV113,$CA$113:$DZ$300,51,FALSE))=TRUE,0,IF(VLOOKUP(CV113,$CA$113:$DZ$300,51,FALSE)="",0,VLOOKUP(CV113,$CA$113:$DZ$300,51,FALSE))),DY113),"")</f>
        <v>-13723169.0442581</v>
      </c>
      <c s="73">
        <f t="shared" ref="EF113:EF144" si="7">IF(AND(CV113=CW113,CV113&lt;&gt;"",DI$111&lt;&gt;"",DK113&lt;&gt;"",DZ113&lt;&gt;""),IF(CW$101="Y",DZ113-IF(ISERROR(VLOOKUP(CV113,$CA$113:$DZ$300,52,FALSE))=TRUE,0,IF(VLOOKUP(CV113,$CA$113:$DZ$300,52,FALSE)="",0,VLOOKUP(CV113,$CA$113:$DZ$300,52,FALSE))),DZ113-IF(AND(CW$102="Y",CV113=$CW$111),DX$111,0)),"")</f>
        <v>-20949862.1638031</v>
      </c>
      <c s="74">
        <f t="shared" ref="EG113:EG144" si="8">IF(AND(CV113=CW113,CV113&lt;&gt;"",DJ113&lt;&gt;"",EE113&lt;&gt;""),EC113/$DJ$112-(EC113-EE113)/($DJ$112-$DY$112),"")</f>
        <v>0.00362428098583692</v>
      </c>
      <c s="74">
        <f t="shared" ref="EH113:EH144" si="9">IF(AND(CV113=CW113,CV113&lt;&gt;"",DI$111&lt;&gt;"",DK113&lt;&gt;"",EF113&lt;&gt;""),ED113/$DI$112-(ED113-EF113)/($DI$112-$DX$112),"")</f>
        <v>0.00424401356236123</v>
      </c>
      <c s="69" t="str">
        <f t="shared" si="0"/>
        <v>Total US - Club</v>
      </c>
      <c s="69" t="str">
        <f t="shared" si="1"/>
        <v>Total US - Club</v>
      </c>
      <c s="77"/>
    </row>
    <row r="114" spans="1:141" ht="15">
      <c r="A1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ref="CA114:CA177" si="10">IF(ISERROR(FIND("Walmart",CV114))=FALSE,CW114,"")</f>
      </c>
      <c s="75">
        <f>IF(ISERROR(VLOOKUP(CV114,$AL$8:$AL$15,1,FALSE))=TRUE,IF(AND(CV114=CW114,CV114&lt;&gt;"",DI$111&lt;&gt;"",DK114&lt;&gt;""),IF(CW$101="Y",DK114-IF(ISERROR(VLOOKUP(CV114,$CA$113:$DK$300,37,FALSE))=TRUE,0,IF(VLOOKUP(CV114,$CA$113:$DK$300,37,FALSE)="",0,VLOOKUP(CV114,$CA$113:$DK$300,37,FALSE))),DK114-IF(AND(CW$102="Y",CV114=$CW$111),DI$111,0)),""),"")</f>
      </c>
      <c s="76">
        <f>IF(ISERROR(VLOOKUP(CV114,$AL$8:$AL$15,1,FALSE))=TRUE,IF(CB114&lt;&gt;"",IF(CB114&gt;0,IF(Z$4&lt;&gt;"",MIN(4,RANK(CB114,$CB$111:$CB$300)),RANK(CB114,$CB$111:$CB$300)),""),""),"")</f>
      </c>
      <c s="75">
        <f>IF(ISERROR(VLOOKUP(CV114,$AL$8:$AL$15,1,FALSE))=TRUE,IF(AND(ISERROR(FIND("NeighMkt",$CX$102))=FALSE,LEFT($CW$111,10)="ALL OUTLET",$CA114&lt;&gt;"",DK114&lt;&gt;""),"",IF(AND($CV114&lt;&gt;$CW114,$CW114=CD$110),$DK114,"")),"")</f>
      </c>
      <c s="76">
        <f>IF(ISERROR(VLOOKUP(CV114,$AL$8:$AL$15,1,FALSE))=TRUE,IF(CD114&lt;&gt;"",IF(CD114&gt;0,RANK(CD114,$CD$111:$CD$300),""),""),"")</f>
      </c>
      <c s="75">
        <f>IF(ISERROR(VLOOKUP(CV114,$AL$8:$AL$15,1,FALSE))=TRUE,IF(AND(ISERROR(FIND("NeighMkt",$CX$102))=FALSE,LEFT($CW$111,10)="ALL OUTLET",$CA114&lt;&gt;"",DK114&lt;&gt;""),"",IF(AND($CV114&lt;&gt;$CW114,$CW114=CF$110),$DK114,"")),"")</f>
        <v>22749119.1530762</v>
      </c>
      <c s="76">
        <f>IF(ISERROR(VLOOKUP(CV114,$AL$8:$AL$15,1,FALSE))=TRUE,IF(CF114&lt;&gt;"",IF(CF114&gt;0,RANK(CF114,$CF$111:$CF$300),""),""),"")</f>
        <v>3</v>
      </c>
      <c s="75">
        <f>IF(ISERROR(VLOOKUP(CV114,$AL$8:$AL$15,1,FALSE))=TRUE,IF(AND(ISERROR(FIND("NeighMkt",$CX$102))=FALSE,LEFT($CW$111,10)="ALL OUTLET",$CA114&lt;&gt;"",DK114&lt;&gt;""),"",IF(AND($CV114&lt;&gt;$CW114,$CW114=CH$110),$DK114,"")),"")</f>
      </c>
      <c s="76">
        <f>IF(ISERROR(VLOOKUP(CV114,$AL$8:$AL$15,1,FALSE))=TRUE,IF(CH114&lt;&gt;"",IF(CH114&gt;0,RANK(CH114,$CH$111:$CH$300),""),""),"")</f>
      </c>
      <c s="75">
        <f>IF(ISERROR(VLOOKUP(CV114,$AL$8:$AL$15,1,FALSE))=TRUE,IF(AND(ISERROR(FIND("NeighMkt",$CX$102))=FALSE,LEFT($CW$111,10)="ALL OUTLET",$CA114&lt;&gt;"",DK114&lt;&gt;""),"",IF($Z$4="",IF(AND($CV114&lt;&gt;$CW114,$CW114=CJ$110),$DK114,""),IF(AND($CV114&lt;&gt;$CW114,$CW114&lt;&gt;CD$110,$CW114&lt;&gt;CF$110,$CW114&lt;&gt;CH$110,$CW114&lt;&gt;$CV$111),$DK114,""))),"")</f>
      </c>
      <c s="76">
        <f>IF(ISERROR(VLOOKUP(CV114,$AL$8:$AL$15,1,FALSE))=TRUE,IF(CJ114&lt;&gt;"",IF(CJ114&gt;0,RANK(CJ114,$CJ$111:$CJ$300),""),""),"")</f>
      </c>
      <c s="75">
        <f>IF(ISERROR(VLOOKUP(CV114,$AL$8:$AL$15,1,FALSE))=TRUE,IF(AND(CV114=CW114,CV114&lt;&gt;"",DJ114&lt;&gt;""),IF(AND(ISERROR(FIND("NeighMkt",$CX$102))=FALSE,LEFT($CW$111,10)="ALL OUTLET"),DJ114-IF(ISERROR(VLOOKUP(CV114,$CA$113:$DK$300,36,FALSE))=TRUE,0,IF(VLOOKUP(CV114,$CA$113:$DK$300,36,FALSE)="",0,VLOOKUP(CV114,$CA$113:$DK$300,36,FALSE))),DJ114),""),"")</f>
      </c>
      <c s="76">
        <f>IF(ISERROR(VLOOKUP(CV114,$AL$8:$AL$15,1,FALSE))=TRUE,IF(CL114&lt;&gt;"",IF(CL114&gt;0,IF($Z$4&lt;&gt;"",MIN(4,RANK(CL114,$CL$111:$CL$300)),RANK(CL114,$CL$111:$CL$300)),""),""),"")</f>
      </c>
      <c s="75">
        <f>IF(ISERROR(VLOOKUP(CV114,$AL$8:$AL$15,1,FALSE))=TRUE,IF(AND(ISERROR(FIND("NeighMkt",$CX$102))=FALSE,LEFT($CW$111,10)="ALL OUTLET",$CA114&lt;&gt;"",DJ114&lt;&gt;""),"",IF(AND($CV114&lt;&gt;$CW114,$CW114=CN$110),$DJ114,"")),"")</f>
      </c>
      <c s="76">
        <f>IF(ISERROR(VLOOKUP(CV114,$AL$8:$AL$15,1,FALSE))=TRUE,IF(CN114&lt;&gt;"",IF(CN114&gt;0,RANK(CN114,$CN$111:$CN$300),""),""),"")</f>
      </c>
      <c s="75">
        <f>IF(ISERROR(VLOOKUP(CV114,$AL$8:$AL$15,1,FALSE))=TRUE,IF(AND(ISERROR(FIND("NeighMkt",$CX$102))=FALSE,LEFT($CW$111,10)="ALL OUTLET",$CA114&lt;&gt;"",DJ114&lt;&gt;""),"",IF(AND($CV114&lt;&gt;$CW114,$CW114=CP$110),$DJ114,"")),"")</f>
        <v>74140217.3533936</v>
      </c>
      <c s="76">
        <f>IF(ISERROR(VLOOKUP(CV114,$AL$8:$AL$15,1,FALSE))=TRUE,IF(CP114&lt;&gt;"",IF(CP114&gt;0,RANK(CP114,$CP$111:$CP$300),""),""),"")</f>
        <v>3</v>
      </c>
      <c s="75">
        <f>IF(ISERROR(VLOOKUP(CV114,$AL$8:$AL$15,1,FALSE))=TRUE,IF(AND(ISERROR(FIND("NeighMkt",$CX$102))=FALSE,LEFT($CW$111,10)="ALL OUTLET",$CA114&lt;&gt;"",DJ114&lt;&gt;""),"",IF(AND($CV114&lt;&gt;$CW114,$CW114=CR$110),$DJ114,"")),"")</f>
      </c>
      <c s="76">
        <f>IF(ISERROR(VLOOKUP(CV114,$AL$8:$AL$15,1,FALSE))=TRUE,IF(CR114&lt;&gt;"",IF(CR114&gt;0,RANK(CR114,$CR$111:$CR$300),""),""),"")</f>
      </c>
      <c s="75">
        <f>IF(ISERROR(VLOOKUP(CV114,$AL$8:$AL$15,1,FALSE))=TRUE,IF(AND(ISERROR(FIND("NeighMkt",$CX$102))=FALSE,LEFT($CW$111,10)="ALL OUTLET",$CA114&lt;&gt;"",DJ114&lt;&gt;""),"",IF($Z$4="",IF(AND($CV114&lt;&gt;$CW114,$CW114=CT$110),$DJ114,""),IF(AND($CV114&lt;&gt;$CW114,$CW114&lt;&gt;CN$110,$CW114&lt;&gt;CP$110,$CW114&lt;&gt;CR$110,$CW114&lt;&gt;$CV$111),$DJ114,""))),"")</f>
      </c>
      <c s="76">
        <f>IF(ISERROR(VLOOKUP(CV114,$AL$8:$AL$15,1,FALSE))=TRUE,IF(CT114&lt;&gt;"",IF(CT114&gt;0,RANK(CT114,$CT$111:$CT$300),""),""),"")</f>
      </c>
      <c s="65" t="str">
        <f t="shared" si="2"/>
        <v>BJs Wholesale</v>
      </c>
      <c s="65" t="str">
        <f t="shared" si="3"/>
        <v>Club</v>
      </c>
      <c s="72" t="str">
        <f>IF('[1]Leakage Tree Data'!A13&lt;&gt;"",'[1]Leakage Tree Data'!A13,"")</f>
        <v>Total US - BJs Wholesale</v>
      </c>
      <c s="72" t="str">
        <f>IF('[1]Leakage Tree Data'!B13&lt;&gt;"",'[1]Leakage Tree Data'!B13,"")</f>
        <v>Total US - Club</v>
      </c>
      <c s="72">
        <f>IF('[1]Leakage Tree Data'!C13&lt;&gt;"",'[1]Leakage Tree Data'!C13,"")</f>
        <v>121171760.292236</v>
      </c>
      <c s="72">
        <f>IF('[1]Leakage Tree Data'!D13&lt;&gt;"",'[1]Leakage Tree Data'!D13,"")</f>
        <v>10550518.0960083</v>
      </c>
      <c s="72">
        <f>IF('[1]Leakage Tree Data'!E13&lt;&gt;"",'[1]Leakage Tree Data'!E13,"")</f>
        <v>8.70707669061096</v>
      </c>
      <c s="72">
        <f>IF('[1]Leakage Tree Data'!F13&lt;&gt;"",'[1]Leakage Tree Data'!F13,"")</f>
        <v>110621242.196228</v>
      </c>
      <c s="72">
        <f>IF('[1]Leakage Tree Data'!G13&lt;&gt;"",'[1]Leakage Tree Data'!G13,"")</f>
        <v>91.292923309389</v>
      </c>
      <c s="72">
        <f>IF('[1]Leakage Tree Data'!H13&lt;&gt;"",'[1]Leakage Tree Data'!H13,"")</f>
        <v>61518209.9918823</v>
      </c>
      <c s="72" t="str">
        <f>IF('[1]Leakage Tree Data'!I13&lt;&gt;"",'[1]Leakage Tree Data'!I13,"")</f>
        <v>Club</v>
      </c>
      <c s="72">
        <f>IF('[1]Leakage Tree Data'!J13&lt;&gt;"",'[1]Leakage Tree Data'!J13,"")</f>
        <v>95.3848887399709</v>
      </c>
      <c s="72">
        <f>IF('[1]Leakage Tree Data'!K13&lt;&gt;"",'[1]Leakage Tree Data'!K13,"")</f>
        <v>2839133.83630371</v>
      </c>
      <c s="72">
        <f>IF('[1]Leakage Tree Data'!L13&lt;&gt;"",'[1]Leakage Tree Data'!L13,"")</f>
        <v>22749119.1530762</v>
      </c>
      <c s="72">
        <f>IF('[1]Leakage Tree Data'!M13&lt;&gt;"",'[1]Leakage Tree Data'!M13,"")</f>
        <v>74140217.3533936</v>
      </c>
      <c s="72">
        <f>IF('[1]Leakage Tree Data'!N13&lt;&gt;"",'[1]Leakage Tree Data'!N13,"")</f>
        <v>22749119.1530762</v>
      </c>
      <c s="72">
        <f>IF('[1]Leakage Tree Data'!O13&lt;&gt;"",'[1]Leakage Tree Data'!O13,"")</f>
        <v>43.9500707569037</v>
      </c>
      <c s="72">
        <f>IF('[1]Leakage Tree Data'!P13&lt;&gt;"",'[1]Leakage Tree Data'!P13,"")</f>
        <v>4708041.33283869</v>
      </c>
      <c s="72">
        <f>IF('[1]Leakage Tree Data'!Q13&lt;&gt;"",'[1]Leakage Tree Data'!Q13,"")</f>
      </c>
      <c s="72">
        <f>IF('[1]Leakage Tree Data'!R13&lt;&gt;"",'[1]Leakage Tree Data'!R13,"")</f>
        <v>1017625.85098267</v>
      </c>
      <c s="72">
        <f>IF('[1]Leakage Tree Data'!S13&lt;&gt;"",'[1]Leakage Tree Data'!S13,"")</f>
        <v>-50874.4582519531</v>
      </c>
      <c s="72">
        <f>IF('[1]Leakage Tree Data'!T13&lt;&gt;"",'[1]Leakage Tree Data'!T13,"")</f>
        <v>-0.116084163203466</v>
      </c>
      <c s="72">
        <f>IF('[1]Leakage Tree Data'!U13&lt;&gt;"",'[1]Leakage Tree Data'!U13,"")</f>
        <v>1068500.30923462</v>
      </c>
      <c s="72">
        <f>IF('[1]Leakage Tree Data'!V13&lt;&gt;"",'[1]Leakage Tree Data'!V13,"")</f>
        <v>0.116084163203467</v>
      </c>
      <c s="72">
        <f>IF('[1]Leakage Tree Data'!W13&lt;&gt;"",'[1]Leakage Tree Data'!W13,"")</f>
        <v>-1855949.2237854</v>
      </c>
      <c s="72">
        <f>IF('[1]Leakage Tree Data'!X13&lt;&gt;"",'[1]Leakage Tree Data'!X13,"")</f>
      </c>
      <c s="72">
        <f>IF('[1]Leakage Tree Data'!Y13&lt;&gt;"",'[1]Leakage Tree Data'!Y13,"")</f>
        <v>-0.162161077894723</v>
      </c>
      <c s="72">
        <f>IF('[1]Leakage Tree Data'!Z13&lt;&gt;"",'[1]Leakage Tree Data'!Z13,"")</f>
        <v>17114.0980834961</v>
      </c>
      <c s="72">
        <f>IF('[1]Leakage Tree Data'!AA13&lt;&gt;"",'[1]Leakage Tree Data'!AA13,"")</f>
        <v>2097095.86328125</v>
      </c>
      <c s="72">
        <f>IF('[1]Leakage Tree Data'!AB13&lt;&gt;"",'[1]Leakage Tree Data'!AB13,"")</f>
        <v>1653952.54504395</v>
      </c>
      <c s="72">
        <f>IF('[1]Leakage Tree Data'!AC13&lt;&gt;"",'[1]Leakage Tree Data'!AC13,"")</f>
        <v>2097095.86328125</v>
      </c>
      <c s="72">
        <f>IF('[1]Leakage Tree Data'!AD13&lt;&gt;"",'[1]Leakage Tree Data'!AD13,"")</f>
        <v>1.09225598092273</v>
      </c>
      <c s="72">
        <f>IF('[1]Leakage Tree Data'!AE13&lt;&gt;"",'[1]Leakage Tree Data'!AE13,"")</f>
      </c>
      <c s="73">
        <f t="shared" si="4"/>
      </c>
      <c s="73">
        <f t="shared" si="5"/>
      </c>
      <c s="73">
        <f t="shared" si="6"/>
      </c>
      <c s="73">
        <f t="shared" si="7"/>
      </c>
      <c s="74">
        <f t="shared" si="8"/>
      </c>
      <c s="74">
        <f t="shared" si="9"/>
      </c>
      <c s="69" t="str">
        <f t="shared" si="0"/>
        <v>Total US - BJs Wholesale</v>
      </c>
      <c s="69" t="str">
        <f t="shared" si="1"/>
        <v>Total US - Club</v>
      </c>
      <c s="77"/>
    </row>
    <row r="115" spans="1:141" ht="15">
      <c r="A1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115,$AL$8:$AL$15,1,FALSE))=TRUE,IF(AND(CV115=CW115,CV115&lt;&gt;"",DI$111&lt;&gt;"",DK115&lt;&gt;""),IF(CW$101="Y",DK115-IF(ISERROR(VLOOKUP(CV115,$CA$113:$DK$300,37,FALSE))=TRUE,0,IF(VLOOKUP(CV115,$CA$113:$DK$300,37,FALSE)="",0,VLOOKUP(CV115,$CA$113:$DK$300,37,FALSE))),DK115-IF(AND(CW$102="Y",CV115=$CW$111),DI$111,0)),""),"")</f>
      </c>
      <c s="76">
        <f>IF(ISERROR(VLOOKUP(CV115,$AL$8:$AL$15,1,FALSE))=TRUE,IF(CB115&lt;&gt;"",IF(CB115&gt;0,IF(Z$4&lt;&gt;"",MIN(4,RANK(CB115,$CB$111:$CB$300)),RANK(CB115,$CB$111:$CB$300)),""),""),"")</f>
      </c>
      <c s="75">
        <f>IF(ISERROR(VLOOKUP(CV115,$AL$8:$AL$15,1,FALSE))=TRUE,IF(AND(ISERROR(FIND("NeighMkt",$CX$102))=FALSE,LEFT($CW$111,10)="ALL OUTLET",$CA115&lt;&gt;"",DK115&lt;&gt;""),"",IF(AND($CV115&lt;&gt;$CW115,$CW115=CD$110),$DK115,"")),"")</f>
      </c>
      <c s="76">
        <f>IF(ISERROR(VLOOKUP(CV115,$AL$8:$AL$15,1,FALSE))=TRUE,IF(CD115&lt;&gt;"",IF(CD115&gt;0,RANK(CD115,$CD$111:$CD$300),""),""),"")</f>
      </c>
      <c s="75">
        <f>IF(ISERROR(VLOOKUP(CV115,$AL$8:$AL$15,1,FALSE))=TRUE,IF(AND(ISERROR(FIND("NeighMkt",$CX$102))=FALSE,LEFT($CW$111,10)="ALL OUTLET",$CA115&lt;&gt;"",DK115&lt;&gt;""),"",IF(AND($CV115&lt;&gt;$CW115,$CW115=CF$110),$DK115,"")),"")</f>
        <v>63105851.6976624</v>
      </c>
      <c s="76">
        <f>IF(ISERROR(VLOOKUP(CV115,$AL$8:$AL$15,1,FALSE))=TRUE,IF(CF115&lt;&gt;"",IF(CF115&gt;0,RANK(CF115,$CF$111:$CF$300),""),""),"")</f>
        <v>1</v>
      </c>
      <c s="75">
        <f>IF(ISERROR(VLOOKUP(CV115,$AL$8:$AL$15,1,FALSE))=TRUE,IF(AND(ISERROR(FIND("NeighMkt",$CX$102))=FALSE,LEFT($CW$111,10)="ALL OUTLET",$CA115&lt;&gt;"",DK115&lt;&gt;""),"",IF(AND($CV115&lt;&gt;$CW115,$CW115=CH$110),$DK115,"")),"")</f>
      </c>
      <c s="76">
        <f>IF(ISERROR(VLOOKUP(CV115,$AL$8:$AL$15,1,FALSE))=TRUE,IF(CH115&lt;&gt;"",IF(CH115&gt;0,RANK(CH115,$CH$111:$CH$300),""),""),"")</f>
      </c>
      <c s="75">
        <f>IF(ISERROR(VLOOKUP(CV115,$AL$8:$AL$15,1,FALSE))=TRUE,IF(AND(ISERROR(FIND("NeighMkt",$CX$102))=FALSE,LEFT($CW$111,10)="ALL OUTLET",$CA115&lt;&gt;"",DK115&lt;&gt;""),"",IF($Z$4="",IF(AND($CV115&lt;&gt;$CW115,$CW115=CJ$110),$DK115,""),IF(AND($CV115&lt;&gt;$CW115,$CW115&lt;&gt;CD$110,$CW115&lt;&gt;CF$110,$CW115&lt;&gt;CH$110,$CW115&lt;&gt;$CV$111),$DK115,""))),"")</f>
      </c>
      <c s="76">
        <f>IF(ISERROR(VLOOKUP(CV115,$AL$8:$AL$15,1,FALSE))=TRUE,IF(CJ115&lt;&gt;"",IF(CJ115&gt;0,RANK(CJ115,$CJ$111:$CJ$300),""),""),"")</f>
      </c>
      <c s="75">
        <f>IF(ISERROR(VLOOKUP(CV115,$AL$8:$AL$15,1,FALSE))=TRUE,IF(AND(CV115=CW115,CV115&lt;&gt;"",DJ115&lt;&gt;""),IF(AND(ISERROR(FIND("NeighMkt",$CX$102))=FALSE,LEFT($CW$111,10)="ALL OUTLET"),DJ115-IF(ISERROR(VLOOKUP(CV115,$CA$113:$DK$300,36,FALSE))=TRUE,0,IF(VLOOKUP(CV115,$CA$113:$DK$300,36,FALSE)="",0,VLOOKUP(CV115,$CA$113:$DK$300,36,FALSE))),DJ115),""),"")</f>
      </c>
      <c s="76">
        <f>IF(ISERROR(VLOOKUP(CV115,$AL$8:$AL$15,1,FALSE))=TRUE,IF(CL115&lt;&gt;"",IF(CL115&gt;0,IF($Z$4&lt;&gt;"",MIN(4,RANK(CL115,$CL$111:$CL$300)),RANK(CL115,$CL$111:$CL$300)),""),""),"")</f>
      </c>
      <c s="75">
        <f>IF(ISERROR(VLOOKUP(CV115,$AL$8:$AL$15,1,FALSE))=TRUE,IF(AND(ISERROR(FIND("NeighMkt",$CX$102))=FALSE,LEFT($CW$111,10)="ALL OUTLET",$CA115&lt;&gt;"",DJ115&lt;&gt;""),"",IF(AND($CV115&lt;&gt;$CW115,$CW115=CN$110),$DJ115,"")),"")</f>
      </c>
      <c s="76">
        <f>IF(ISERROR(VLOOKUP(CV115,$AL$8:$AL$15,1,FALSE))=TRUE,IF(CN115&lt;&gt;"",IF(CN115&gt;0,RANK(CN115,$CN$111:$CN$300),""),""),"")</f>
      </c>
      <c s="75">
        <f>IF(ISERROR(VLOOKUP(CV115,$AL$8:$AL$15,1,FALSE))=TRUE,IF(AND(ISERROR(FIND("NeighMkt",$CX$102))=FALSE,LEFT($CW$111,10)="ALL OUTLET",$CA115&lt;&gt;"",DJ115&lt;&gt;""),"",IF(AND($CV115&lt;&gt;$CW115,$CW115=CP$110),$DJ115,"")),"")</f>
        <v>194160582.373535</v>
      </c>
      <c s="76">
        <f>IF(ISERROR(VLOOKUP(CV115,$AL$8:$AL$15,1,FALSE))=TRUE,IF(CP115&lt;&gt;"",IF(CP115&gt;0,RANK(CP115,$CP$111:$CP$300),""),""),"")</f>
        <v>1</v>
      </c>
      <c s="75">
        <f>IF(ISERROR(VLOOKUP(CV115,$AL$8:$AL$15,1,FALSE))=TRUE,IF(AND(ISERROR(FIND("NeighMkt",$CX$102))=FALSE,LEFT($CW$111,10)="ALL OUTLET",$CA115&lt;&gt;"",DJ115&lt;&gt;""),"",IF(AND($CV115&lt;&gt;$CW115,$CW115=CR$110),$DJ115,"")),"")</f>
      </c>
      <c s="76">
        <f>IF(ISERROR(VLOOKUP(CV115,$AL$8:$AL$15,1,FALSE))=TRUE,IF(CR115&lt;&gt;"",IF(CR115&gt;0,RANK(CR115,$CR$111:$CR$300),""),""),"")</f>
      </c>
      <c s="75">
        <f>IF(ISERROR(VLOOKUP(CV115,$AL$8:$AL$15,1,FALSE))=TRUE,IF(AND(ISERROR(FIND("NeighMkt",$CX$102))=FALSE,LEFT($CW$111,10)="ALL OUTLET",$CA115&lt;&gt;"",DJ115&lt;&gt;""),"",IF($Z$4="",IF(AND($CV115&lt;&gt;$CW115,$CW115=CT$110),$DJ115,""),IF(AND($CV115&lt;&gt;$CW115,$CW115&lt;&gt;CN$110,$CW115&lt;&gt;CP$110,$CW115&lt;&gt;CR$110,$CW115&lt;&gt;$CV$111),$DJ115,""))),"")</f>
      </c>
      <c s="76">
        <f>IF(ISERROR(VLOOKUP(CV115,$AL$8:$AL$15,1,FALSE))=TRUE,IF(CT115&lt;&gt;"",IF(CT115&gt;0,RANK(CT115,$CT$111:$CT$300),""),""),"")</f>
      </c>
      <c s="65" t="str">
        <f t="shared" si="2"/>
        <v>Costco</v>
      </c>
      <c s="65" t="str">
        <f t="shared" si="3"/>
        <v>Club</v>
      </c>
      <c s="72" t="str">
        <f>IF('[1]Leakage Tree Data'!A14&lt;&gt;"",'[1]Leakage Tree Data'!A14,"")</f>
        <v>Total US - Costco</v>
      </c>
      <c s="72" t="str">
        <f>IF('[1]Leakage Tree Data'!B14&lt;&gt;"",'[1]Leakage Tree Data'!B14,"")</f>
        <v>Total US - Club</v>
      </c>
      <c s="72">
        <f>IF('[1]Leakage Tree Data'!C14&lt;&gt;"",'[1]Leakage Tree Data'!C14,"")</f>
        <v>121171760.292236</v>
      </c>
      <c s="72">
        <f>IF('[1]Leakage Tree Data'!D14&lt;&gt;"",'[1]Leakage Tree Data'!D14,"")</f>
        <v>29920685.7605286</v>
      </c>
      <c s="72">
        <f>IF('[1]Leakage Tree Data'!E14&lt;&gt;"",'[1]Leakage Tree Data'!E14,"")</f>
        <v>24.6927878974171</v>
      </c>
      <c s="72">
        <f>IF('[1]Leakage Tree Data'!F14&lt;&gt;"",'[1]Leakage Tree Data'!F14,"")</f>
        <v>91251074.5317078</v>
      </c>
      <c s="72">
        <f>IF('[1]Leakage Tree Data'!G14&lt;&gt;"",'[1]Leakage Tree Data'!G14,"")</f>
        <v>75.3072121025829</v>
      </c>
      <c s="72">
        <f>IF('[1]Leakage Tree Data'!H14&lt;&gt;"",'[1]Leakage Tree Data'!H14,"")</f>
        <v>61518209.9918823</v>
      </c>
      <c s="72" t="str">
        <f>IF('[1]Leakage Tree Data'!I14&lt;&gt;"",'[1]Leakage Tree Data'!I14,"")</f>
        <v>Club</v>
      </c>
      <c s="72">
        <f>IF('[1]Leakage Tree Data'!J14&lt;&gt;"",'[1]Leakage Tree Data'!J14,"")</f>
        <v>85.8364609660613</v>
      </c>
      <c s="72">
        <f>IF('[1]Leakage Tree Data'!K14&lt;&gt;"",'[1]Leakage Tree Data'!K14,"")</f>
        <v>8713155.68518066</v>
      </c>
      <c s="72">
        <f>IF('[1]Leakage Tree Data'!L14&lt;&gt;"",'[1]Leakage Tree Data'!L14,"")</f>
        <v>63105851.6976624</v>
      </c>
      <c s="72">
        <f>IF('[1]Leakage Tree Data'!M14&lt;&gt;"",'[1]Leakage Tree Data'!M14,"")</f>
        <v>194160582.373535</v>
      </c>
      <c s="72">
        <f>IF('[1]Leakage Tree Data'!N14&lt;&gt;"",'[1]Leakage Tree Data'!N14,"")</f>
        <v>63105851.6976624</v>
      </c>
      <c s="72">
        <f>IF('[1]Leakage Tree Data'!O14&lt;&gt;"",'[1]Leakage Tree Data'!O14,"")</f>
        <v>45.2705308274127</v>
      </c>
      <c s="72">
        <f>IF('[1]Leakage Tree Data'!P14&lt;&gt;"",'[1]Leakage Tree Data'!P14,"")</f>
        <v>10563480.5454951</v>
      </c>
      <c s="72">
        <f>IF('[1]Leakage Tree Data'!Q14&lt;&gt;"",'[1]Leakage Tree Data'!Q14,"")</f>
      </c>
      <c s="72">
        <f>IF('[1]Leakage Tree Data'!R14&lt;&gt;"",'[1]Leakage Tree Data'!R14,"")</f>
        <v>1017625.85098267</v>
      </c>
      <c s="72">
        <f>IF('[1]Leakage Tree Data'!S14&lt;&gt;"",'[1]Leakage Tree Data'!S14,"")</f>
        <v>877609.887481689</v>
      </c>
      <c s="72">
        <f>IF('[1]Leakage Tree Data'!T14&lt;&gt;"",'[1]Leakage Tree Data'!T14,"")</f>
        <v>0.521271862530444</v>
      </c>
      <c s="72">
        <f>IF('[1]Leakage Tree Data'!U14&lt;&gt;"",'[1]Leakage Tree Data'!U14,"")</f>
        <v>140015.963500977</v>
      </c>
      <c s="72">
        <f>IF('[1]Leakage Tree Data'!V14&lt;&gt;"",'[1]Leakage Tree Data'!V14,"")</f>
        <v>-0.52127186253044</v>
      </c>
      <c s="72">
        <f>IF('[1]Leakage Tree Data'!W14&lt;&gt;"",'[1]Leakage Tree Data'!W14,"")</f>
        <v>-1855949.2237854</v>
      </c>
      <c s="72">
        <f>IF('[1]Leakage Tree Data'!X14&lt;&gt;"",'[1]Leakage Tree Data'!X14,"")</f>
      </c>
      <c s="72">
        <f>IF('[1]Leakage Tree Data'!Y14&lt;&gt;"",'[1]Leakage Tree Data'!Y14,"")</f>
        <v>-0.134644097630456</v>
      </c>
      <c s="72">
        <f>IF('[1]Leakage Tree Data'!Z14&lt;&gt;"",'[1]Leakage Tree Data'!Z14,"")</f>
        <v>-177538.527954102</v>
      </c>
      <c s="72">
        <f>IF('[1]Leakage Tree Data'!AA14&lt;&gt;"",'[1]Leakage Tree Data'!AA14,"")</f>
        <v>-9937280.11541748</v>
      </c>
      <c s="72">
        <f>IF('[1]Leakage Tree Data'!AB14&lt;&gt;"",'[1]Leakage Tree Data'!AB14,"")</f>
        <v>-8769354.89709473</v>
      </c>
      <c s="72">
        <f>IF('[1]Leakage Tree Data'!AC14&lt;&gt;"",'[1]Leakage Tree Data'!AC14,"")</f>
        <v>-9937280.11541748</v>
      </c>
      <c s="72">
        <f>IF('[1]Leakage Tree Data'!AD14&lt;&gt;"",'[1]Leakage Tree Data'!AD14,"")</f>
        <v>-0.307677386399327</v>
      </c>
      <c s="72">
        <f>IF('[1]Leakage Tree Data'!AE14&lt;&gt;"",'[1]Leakage Tree Data'!AE14,"")</f>
      </c>
      <c s="73">
        <f t="shared" si="4"/>
      </c>
      <c s="73">
        <f t="shared" si="5"/>
      </c>
      <c s="73">
        <f t="shared" si="6"/>
      </c>
      <c s="73">
        <f t="shared" si="7"/>
      </c>
      <c s="74">
        <f t="shared" si="8"/>
      </c>
      <c s="74">
        <f t="shared" si="9"/>
      </c>
      <c s="69" t="str">
        <f t="shared" si="0"/>
        <v>Total US - Costco</v>
      </c>
      <c s="69" t="str">
        <f t="shared" si="1"/>
        <v>Total US - Club</v>
      </c>
      <c s="77"/>
    </row>
    <row r="116" spans="1:141" ht="15">
      <c r="A1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116,$AL$8:$AL$15,1,FALSE))=TRUE,IF(AND(CV116=CW116,CV116&lt;&gt;"",DI$111&lt;&gt;"",DK116&lt;&gt;""),IF(CW$101="Y",DK116-IF(ISERROR(VLOOKUP(CV116,$CA$113:$DK$300,37,FALSE))=TRUE,0,IF(VLOOKUP(CV116,$CA$113:$DK$300,37,FALSE)="",0,VLOOKUP(CV116,$CA$113:$DK$300,37,FALSE))),DK116-IF(AND(CW$102="Y",CV116=$CW$111),DI$111,0)),""),"")</f>
      </c>
      <c s="76">
        <f>IF(ISERROR(VLOOKUP(CV116,$AL$8:$AL$15,1,FALSE))=TRUE,IF(CB116&lt;&gt;"",IF(CB116&gt;0,IF(Z$4&lt;&gt;"",MIN(4,RANK(CB116,$CB$111:$CB$300)),RANK(CB116,$CB$111:$CB$300)),""),""),"")</f>
      </c>
      <c s="75">
        <f>IF(ISERROR(VLOOKUP(CV116,$AL$8:$AL$15,1,FALSE))=TRUE,IF(AND(ISERROR(FIND("NeighMkt",$CX$102))=FALSE,LEFT($CW$111,10)="ALL OUTLET",$CA116&lt;&gt;"",DK116&lt;&gt;""),"",IF(AND($CV116&lt;&gt;$CW116,$CW116=CD$110),$DK116,"")),"")</f>
      </c>
      <c s="76">
        <f>IF(ISERROR(VLOOKUP(CV116,$AL$8:$AL$15,1,FALSE))=TRUE,IF(CD116&lt;&gt;"",IF(CD116&gt;0,RANK(CD116,$CD$111:$CD$300),""),""),"")</f>
      </c>
      <c s="75">
        <f>IF(ISERROR(VLOOKUP(CV116,$AL$8:$AL$15,1,FALSE))=TRUE,IF(AND(ISERROR(FIND("NeighMkt",$CX$102))=FALSE,LEFT($CW$111,10)="ALL OUTLET",$CA116&lt;&gt;"",DK116&lt;&gt;""),"",IF(AND($CV116&lt;&gt;$CW116,$CW116=CF$110),$DK116,"")),"")</f>
        <v>38842172.0863037</v>
      </c>
      <c s="76">
        <f>IF(ISERROR(VLOOKUP(CV116,$AL$8:$AL$15,1,FALSE))=TRUE,IF(CF116&lt;&gt;"",IF(CF116&gt;0,RANK(CF116,$CF$111:$CF$300),""),""),"")</f>
        <v>2</v>
      </c>
      <c s="75">
        <f>IF(ISERROR(VLOOKUP(CV116,$AL$8:$AL$15,1,FALSE))=TRUE,IF(AND(ISERROR(FIND("NeighMkt",$CX$102))=FALSE,LEFT($CW$111,10)="ALL OUTLET",$CA116&lt;&gt;"",DK116&lt;&gt;""),"",IF(AND($CV116&lt;&gt;$CW116,$CW116=CH$110),$DK116,"")),"")</f>
      </c>
      <c s="76">
        <f>IF(ISERROR(VLOOKUP(CV116,$AL$8:$AL$15,1,FALSE))=TRUE,IF(CH116&lt;&gt;"",IF(CH116&gt;0,RANK(CH116,$CH$111:$CH$300),""),""),"")</f>
      </c>
      <c s="75">
        <f>IF(ISERROR(VLOOKUP(CV116,$AL$8:$AL$15,1,FALSE))=TRUE,IF(AND(ISERROR(FIND("NeighMkt",$CX$102))=FALSE,LEFT($CW$111,10)="ALL OUTLET",$CA116&lt;&gt;"",DK116&lt;&gt;""),"",IF($Z$4="",IF(AND($CV116&lt;&gt;$CW116,$CW116=CJ$110),$DK116,""),IF(AND($CV116&lt;&gt;$CW116,$CW116&lt;&gt;CD$110,$CW116&lt;&gt;CF$110,$CW116&lt;&gt;CH$110,$CW116&lt;&gt;$CV$111),$DK116,""))),"")</f>
      </c>
      <c s="76">
        <f>IF(ISERROR(VLOOKUP(CV116,$AL$8:$AL$15,1,FALSE))=TRUE,IF(CJ116&lt;&gt;"",IF(CJ116&gt;0,RANK(CJ116,$CJ$111:$CJ$300),""),""),"")</f>
      </c>
      <c s="75">
        <f>IF(ISERROR(VLOOKUP(CV116,$AL$8:$AL$15,1,FALSE))=TRUE,IF(AND(CV116=CW116,CV116&lt;&gt;"",DJ116&lt;&gt;""),IF(AND(ISERROR(FIND("NeighMkt",$CX$102))=FALSE,LEFT($CW$111,10)="ALL OUTLET"),DJ116-IF(ISERROR(VLOOKUP(CV116,$CA$113:$DK$300,36,FALSE))=TRUE,0,IF(VLOOKUP(CV116,$CA$113:$DK$300,36,FALSE)="",0,VLOOKUP(CV116,$CA$113:$DK$300,36,FALSE))),DJ116),""),"")</f>
      </c>
      <c s="76">
        <f>IF(ISERROR(VLOOKUP(CV116,$AL$8:$AL$15,1,FALSE))=TRUE,IF(CL116&lt;&gt;"",IF(CL116&gt;0,IF($Z$4&lt;&gt;"",MIN(4,RANK(CL116,$CL$111:$CL$300)),RANK(CL116,$CL$111:$CL$300)),""),""),"")</f>
      </c>
      <c s="75">
        <f>IF(ISERROR(VLOOKUP(CV116,$AL$8:$AL$15,1,FALSE))=TRUE,IF(AND(ISERROR(FIND("NeighMkt",$CX$102))=FALSE,LEFT($CW$111,10)="ALL OUTLET",$CA116&lt;&gt;"",DJ116&lt;&gt;""),"",IF(AND($CV116&lt;&gt;$CW116,$CW116=CN$110),$DJ116,"")),"")</f>
      </c>
      <c s="76">
        <f>IF(ISERROR(VLOOKUP(CV116,$AL$8:$AL$15,1,FALSE))=TRUE,IF(CN116&lt;&gt;"",IF(CN116&gt;0,RANK(CN116,$CN$111:$CN$300),""),""),"")</f>
      </c>
      <c s="75">
        <f>IF(ISERROR(VLOOKUP(CV116,$AL$8:$AL$15,1,FALSE))=TRUE,IF(AND(ISERROR(FIND("NeighMkt",$CX$102))=FALSE,LEFT($CW$111,10)="ALL OUTLET",$CA116&lt;&gt;"",DJ116&lt;&gt;""),"",IF(AND($CV116&lt;&gt;$CW116,$CW116=CP$110),$DJ116,"")),"")</f>
        <v>155684875.385925</v>
      </c>
      <c s="76">
        <f>IF(ISERROR(VLOOKUP(CV116,$AL$8:$AL$15,1,FALSE))=TRUE,IF(CP116&lt;&gt;"",IF(CP116&gt;0,RANK(CP116,$CP$111:$CP$300),""),""),"")</f>
        <v>2</v>
      </c>
      <c s="75">
        <f>IF(ISERROR(VLOOKUP(CV116,$AL$8:$AL$15,1,FALSE))=TRUE,IF(AND(ISERROR(FIND("NeighMkt",$CX$102))=FALSE,LEFT($CW$111,10)="ALL OUTLET",$CA116&lt;&gt;"",DJ116&lt;&gt;""),"",IF(AND($CV116&lt;&gt;$CW116,$CW116=CR$110),$DJ116,"")),"")</f>
      </c>
      <c s="76">
        <f>IF(ISERROR(VLOOKUP(CV116,$AL$8:$AL$15,1,FALSE))=TRUE,IF(CR116&lt;&gt;"",IF(CR116&gt;0,RANK(CR116,$CR$111:$CR$300),""),""),"")</f>
      </c>
      <c s="75">
        <f>IF(ISERROR(VLOOKUP(CV116,$AL$8:$AL$15,1,FALSE))=TRUE,IF(AND(ISERROR(FIND("NeighMkt",$CX$102))=FALSE,LEFT($CW$111,10)="ALL OUTLET",$CA116&lt;&gt;"",DJ116&lt;&gt;""),"",IF($Z$4="",IF(AND($CV116&lt;&gt;$CW116,$CW116=CT$110),$DJ116,""),IF(AND($CV116&lt;&gt;$CW116,$CW116&lt;&gt;CN$110,$CW116&lt;&gt;CP$110,$CW116&lt;&gt;CR$110,$CW116&lt;&gt;$CV$111),$DJ116,""))),"")</f>
      </c>
      <c s="76">
        <f>IF(ISERROR(VLOOKUP(CV116,$AL$8:$AL$15,1,FALSE))=TRUE,IF(CT116&lt;&gt;"",IF(CT116&gt;0,RANK(CT116,$CT$111:$CT$300),""),""),"")</f>
      </c>
      <c s="65" t="str">
        <f t="shared" si="2"/>
        <v>Sams Club</v>
      </c>
      <c s="65" t="str">
        <f t="shared" si="3"/>
        <v>Club</v>
      </c>
      <c s="72" t="str">
        <f>IF('[1]Leakage Tree Data'!A15&lt;&gt;"",'[1]Leakage Tree Data'!A15,"")</f>
        <v>Total US - Sams Club</v>
      </c>
      <c s="72" t="str">
        <f>IF('[1]Leakage Tree Data'!B15&lt;&gt;"",'[1]Leakage Tree Data'!B15,"")</f>
        <v>Total US - Club</v>
      </c>
      <c s="72">
        <f>IF('[1]Leakage Tree Data'!C15&lt;&gt;"",'[1]Leakage Tree Data'!C15,"")</f>
        <v>121171760.292236</v>
      </c>
      <c s="72">
        <f>IF('[1]Leakage Tree Data'!D15&lt;&gt;"",'[1]Leakage Tree Data'!D15,"")</f>
        <v>32458116.1795349</v>
      </c>
      <c s="72">
        <f>IF('[1]Leakage Tree Data'!E15&lt;&gt;"",'[1]Leakage Tree Data'!E15,"")</f>
        <v>26.7868652739334</v>
      </c>
      <c s="72">
        <f>IF('[1]Leakage Tree Data'!F15&lt;&gt;"",'[1]Leakage Tree Data'!F15,"")</f>
        <v>88713644.1127014</v>
      </c>
      <c s="72">
        <f>IF('[1]Leakage Tree Data'!G15&lt;&gt;"",'[1]Leakage Tree Data'!G15,"")</f>
        <v>73.2131347260666</v>
      </c>
      <c s="72">
        <f>IF('[1]Leakage Tree Data'!H15&lt;&gt;"",'[1]Leakage Tree Data'!H15,"")</f>
        <v>61518209.9918823</v>
      </c>
      <c s="72" t="str">
        <f>IF('[1]Leakage Tree Data'!I15&lt;&gt;"",'[1]Leakage Tree Data'!I15,"")</f>
        <v>Club</v>
      </c>
      <c s="72">
        <f>IF('[1]Leakage Tree Data'!J15&lt;&gt;"",'[1]Leakage Tree Data'!J15,"")</f>
        <v>89.2701247388727</v>
      </c>
      <c s="72">
        <f>IF('[1]Leakage Tree Data'!K15&lt;&gt;"",'[1]Leakage Tree Data'!K15,"")</f>
        <v>6600827.19500732</v>
      </c>
      <c s="72">
        <f>IF('[1]Leakage Tree Data'!L15&lt;&gt;"",'[1]Leakage Tree Data'!L15,"")</f>
        <v>38842172.0863037</v>
      </c>
      <c s="72">
        <f>IF('[1]Leakage Tree Data'!M15&lt;&gt;"",'[1]Leakage Tree Data'!M15,"")</f>
        <v>155684875.385925</v>
      </c>
      <c s="72">
        <f>IF('[1]Leakage Tree Data'!N15&lt;&gt;"",'[1]Leakage Tree Data'!N15,"")</f>
        <v>38842172.0863037</v>
      </c>
      <c s="72">
        <f>IF('[1]Leakage Tree Data'!O15&lt;&gt;"",'[1]Leakage Tree Data'!O15,"")</f>
        <v>34.8462070860095</v>
      </c>
      <c s="72">
        <f>IF('[1]Leakage Tree Data'!P15&lt;&gt;"",'[1]Leakage Tree Data'!P15,"")</f>
        <v>11797985.6739397</v>
      </c>
      <c s="72">
        <f>IF('[1]Leakage Tree Data'!Q15&lt;&gt;"",'[1]Leakage Tree Data'!Q15,"")</f>
      </c>
      <c s="72">
        <f>IF('[1]Leakage Tree Data'!R15&lt;&gt;"",'[1]Leakage Tree Data'!R15,"")</f>
        <v>1017625.85098267</v>
      </c>
      <c s="72">
        <f>IF('[1]Leakage Tree Data'!S15&lt;&gt;"",'[1]Leakage Tree Data'!S15,"")</f>
        <v>102522.283081055</v>
      </c>
      <c s="72">
        <f>IF('[1]Leakage Tree Data'!T15&lt;&gt;"",'[1]Leakage Tree Data'!T15,"")</f>
        <v>-0.141541348872636</v>
      </c>
      <c s="72">
        <f>IF('[1]Leakage Tree Data'!U15&lt;&gt;"",'[1]Leakage Tree Data'!U15,"")</f>
        <v>915103.567901611</v>
      </c>
      <c s="72">
        <f>IF('[1]Leakage Tree Data'!V15&lt;&gt;"",'[1]Leakage Tree Data'!V15,"")</f>
        <v>0.141541348872636</v>
      </c>
      <c s="72">
        <f>IF('[1]Leakage Tree Data'!W15&lt;&gt;"",'[1]Leakage Tree Data'!W15,"")</f>
        <v>-1855949.2237854</v>
      </c>
      <c s="72">
        <f>IF('[1]Leakage Tree Data'!X15&lt;&gt;"",'[1]Leakage Tree Data'!X15,"")</f>
      </c>
      <c s="72">
        <f>IF('[1]Leakage Tree Data'!Y15&lt;&gt;"",'[1]Leakage Tree Data'!Y15,"")</f>
        <v>0.151305090729963</v>
      </c>
      <c s="72">
        <f>IF('[1]Leakage Tree Data'!Z15&lt;&gt;"",'[1]Leakage Tree Data'!Z15,"")</f>
        <v>-295029.365722656</v>
      </c>
      <c s="72">
        <f>IF('[1]Leakage Tree Data'!AA15&lt;&gt;"",'[1]Leakage Tree Data'!AA15,"")</f>
        <v>-12987639.8187714</v>
      </c>
      <c s="72">
        <f>IF('[1]Leakage Tree Data'!AB15&lt;&gt;"",'[1]Leakage Tree Data'!AB15,"")</f>
        <v>-5246385.11656952</v>
      </c>
      <c s="72">
        <f>IF('[1]Leakage Tree Data'!AC15&lt;&gt;"",'[1]Leakage Tree Data'!AC15,"")</f>
        <v>-12987639.8187714</v>
      </c>
      <c s="72">
        <f>IF('[1]Leakage Tree Data'!AD15&lt;&gt;"",'[1]Leakage Tree Data'!AD15,"")</f>
        <v>-0.979013096716542</v>
      </c>
      <c s="72">
        <f>IF('[1]Leakage Tree Data'!AE15&lt;&gt;"",'[1]Leakage Tree Data'!AE15,"")</f>
      </c>
      <c s="73">
        <f t="shared" si="4"/>
      </c>
      <c s="73">
        <f t="shared" si="5"/>
      </c>
      <c s="73">
        <f t="shared" si="6"/>
      </c>
      <c s="73">
        <f t="shared" si="7"/>
      </c>
      <c s="74">
        <f t="shared" si="8"/>
      </c>
      <c s="74">
        <f t="shared" si="9"/>
      </c>
      <c s="69" t="str">
        <f t="shared" si="0"/>
        <v>Total US - Sams Club</v>
      </c>
      <c s="69" t="str">
        <f t="shared" si="1"/>
        <v>Total US - Club</v>
      </c>
      <c s="77"/>
    </row>
    <row r="117" spans="1:141" ht="15">
      <c r="A1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117,$AL$8:$AL$15,1,FALSE))=TRUE,IF(AND(CV117=CW117,CV117&lt;&gt;"",DI$111&lt;&gt;"",DK117&lt;&gt;""),IF(CW$101="Y",DK117-IF(ISERROR(VLOOKUP(CV117,$CA$113:$DK$300,37,FALSE))=TRUE,0,IF(VLOOKUP(CV117,$CA$113:$DK$300,37,FALSE)="",0,VLOOKUP(CV117,$CA$113:$DK$300,37,FALSE))),DK117-IF(AND(CW$102="Y",CV117=$CW$111),DI$111,0)),""),"")</f>
      </c>
      <c s="76">
        <f>IF(ISERROR(VLOOKUP(CV117,$AL$8:$AL$15,1,FALSE))=TRUE,IF(CB117&lt;&gt;"",IF(CB117&gt;0,IF(Z$4&lt;&gt;"",MIN(4,RANK(CB117,$CB$111:$CB$300)),RANK(CB117,$CB$111:$CB$300)),""),""),"")</f>
      </c>
      <c s="75">
        <f>IF(ISERROR(VLOOKUP(CV117,$AL$8:$AL$15,1,FALSE))=TRUE,IF(AND(ISERROR(FIND("NeighMkt",$CX$102))=FALSE,LEFT($CW$111,10)="ALL OUTLET",$CA117&lt;&gt;"",DK117&lt;&gt;""),"",IF(AND($CV117&lt;&gt;$CW117,$CW117=CD$110),$DK117,"")),"")</f>
      </c>
      <c s="76">
        <f>IF(ISERROR(VLOOKUP(CV117,$AL$8:$AL$15,1,FALSE))=TRUE,IF(CD117&lt;&gt;"",IF(CD117&gt;0,RANK(CD117,$CD$111:$CD$300),""),""),"")</f>
      </c>
      <c s="75">
        <f>IF(ISERROR(VLOOKUP(CV117,$AL$8:$AL$15,1,FALSE))=TRUE,IF(AND(ISERROR(FIND("NeighMkt",$CX$102))=FALSE,LEFT($CW$111,10)="ALL OUTLET",$CA117&lt;&gt;"",DK117&lt;&gt;""),"",IF(AND($CV117&lt;&gt;$CW117,$CW117=CF$110),$DK117,"")),"")</f>
      </c>
      <c s="76">
        <f>IF(ISERROR(VLOOKUP(CV117,$AL$8:$AL$15,1,FALSE))=TRUE,IF(CF117&lt;&gt;"",IF(CF117&gt;0,RANK(CF117,$CF$111:$CF$300),""),""),"")</f>
      </c>
      <c s="75">
        <f>IF(ISERROR(VLOOKUP(CV117,$AL$8:$AL$15,1,FALSE))=TRUE,IF(AND(ISERROR(FIND("NeighMkt",$CX$102))=FALSE,LEFT($CW$111,10)="ALL OUTLET",$CA117&lt;&gt;"",DK117&lt;&gt;""),"",IF(AND($CV117&lt;&gt;$CW117,$CW117=CH$110),$DK117,"")),"")</f>
      </c>
      <c s="76">
        <f>IF(ISERROR(VLOOKUP(CV117,$AL$8:$AL$15,1,FALSE))=TRUE,IF(CH117&lt;&gt;"",IF(CH117&gt;0,RANK(CH117,$CH$111:$CH$300),""),""),"")</f>
      </c>
      <c s="75">
        <f>IF(ISERROR(VLOOKUP(CV117,$AL$8:$AL$15,1,FALSE))=TRUE,IF(AND(ISERROR(FIND("NeighMkt",$CX$102))=FALSE,LEFT($CW$111,10)="ALL OUTLET",$CA117&lt;&gt;"",DK117&lt;&gt;""),"",IF($Z$4="",IF(AND($CV117&lt;&gt;$CW117,$CW117=CJ$110),$DK117,""),IF(AND($CV117&lt;&gt;$CW117,$CW117&lt;&gt;CD$110,$CW117&lt;&gt;CF$110,$CW117&lt;&gt;CH$110,$CW117&lt;&gt;$CV$111),$DK117,""))),"")</f>
      </c>
      <c s="76">
        <f>IF(ISERROR(VLOOKUP(CV117,$AL$8:$AL$15,1,FALSE))=TRUE,IF(CJ117&lt;&gt;"",IF(CJ117&gt;0,RANK(CJ117,$CJ$111:$CJ$300),""),""),"")</f>
      </c>
      <c s="75">
        <f>IF(ISERROR(VLOOKUP(CV117,$AL$8:$AL$15,1,FALSE))=TRUE,IF(AND(CV117=CW117,CV117&lt;&gt;"",DJ117&lt;&gt;""),IF(AND(ISERROR(FIND("NeighMkt",$CX$102))=FALSE,LEFT($CW$111,10)="ALL OUTLET"),DJ117-IF(ISERROR(VLOOKUP(CV117,$CA$113:$DK$300,36,FALSE))=TRUE,0,IF(VLOOKUP(CV117,$CA$113:$DK$300,36,FALSE)="",0,VLOOKUP(CV117,$CA$113:$DK$300,36,FALSE))),DJ117),""),"")</f>
        <v>1749131.12713623</v>
      </c>
      <c s="76">
        <f>IF(ISERROR(VLOOKUP(CV117,$AL$8:$AL$15,1,FALSE))=TRUE,IF(CL117&lt;&gt;"",IF(CL117&gt;0,IF($Z$4&lt;&gt;"",MIN(4,RANK(CL117,$CL$111:$CL$300)),RANK(CL117,$CL$111:$CL$300)),""),""),"")</f>
        <v>4</v>
      </c>
      <c s="75">
        <f>IF(ISERROR(VLOOKUP(CV117,$AL$8:$AL$15,1,FALSE))=TRUE,IF(AND(ISERROR(FIND("NeighMkt",$CX$102))=FALSE,LEFT($CW$111,10)="ALL OUTLET",$CA117&lt;&gt;"",DJ117&lt;&gt;""),"",IF(AND($CV117&lt;&gt;$CW117,$CW117=CN$110),$DJ117,"")),"")</f>
      </c>
      <c s="76">
        <f>IF(ISERROR(VLOOKUP(CV117,$AL$8:$AL$15,1,FALSE))=TRUE,IF(CN117&lt;&gt;"",IF(CN117&gt;0,RANK(CN117,$CN$111:$CN$300),""),""),"")</f>
      </c>
      <c s="75">
        <f>IF(ISERROR(VLOOKUP(CV117,$AL$8:$AL$15,1,FALSE))=TRUE,IF(AND(ISERROR(FIND("NeighMkt",$CX$102))=FALSE,LEFT($CW$111,10)="ALL OUTLET",$CA117&lt;&gt;"",DJ117&lt;&gt;""),"",IF(AND($CV117&lt;&gt;$CW117,$CW117=CP$110),$DJ117,"")),"")</f>
      </c>
      <c s="76">
        <f>IF(ISERROR(VLOOKUP(CV117,$AL$8:$AL$15,1,FALSE))=TRUE,IF(CP117&lt;&gt;"",IF(CP117&gt;0,RANK(CP117,$CP$111:$CP$300),""),""),"")</f>
      </c>
      <c s="75">
        <f>IF(ISERROR(VLOOKUP(CV117,$AL$8:$AL$15,1,FALSE))=TRUE,IF(AND(ISERROR(FIND("NeighMkt",$CX$102))=FALSE,LEFT($CW$111,10)="ALL OUTLET",$CA117&lt;&gt;"",DJ117&lt;&gt;""),"",IF(AND($CV117&lt;&gt;$CW117,$CW117=CR$110),$DJ117,"")),"")</f>
      </c>
      <c s="76">
        <f>IF(ISERROR(VLOOKUP(CV117,$AL$8:$AL$15,1,FALSE))=TRUE,IF(CR117&lt;&gt;"",IF(CR117&gt;0,RANK(CR117,$CR$111:$CR$300),""),""),"")</f>
      </c>
      <c s="75">
        <f>IF(ISERROR(VLOOKUP(CV117,$AL$8:$AL$15,1,FALSE))=TRUE,IF(AND(ISERROR(FIND("NeighMkt",$CX$102))=FALSE,LEFT($CW$111,10)="ALL OUTLET",$CA117&lt;&gt;"",DJ117&lt;&gt;""),"",IF($Z$4="",IF(AND($CV117&lt;&gt;$CW117,$CW117=CT$110),$DJ117,""),IF(AND($CV117&lt;&gt;$CW117,$CW117&lt;&gt;CN$110,$CW117&lt;&gt;CP$110,$CW117&lt;&gt;CR$110,$CW117&lt;&gt;$CV$111),$DJ117,""))),"")</f>
      </c>
      <c s="76">
        <f>IF(ISERROR(VLOOKUP(CV117,$AL$8:$AL$15,1,FALSE))=TRUE,IF(CT117&lt;&gt;"",IF(CT117&gt;0,RANK(CT117,$CT$111:$CT$300),""),""),"")</f>
      </c>
      <c s="65" t="str">
        <f t="shared" si="2"/>
        <v>Convenience-Gas</v>
      </c>
      <c s="65" t="str">
        <f t="shared" si="3"/>
        <v>Convenience-Gas</v>
      </c>
      <c s="72" t="str">
        <f>IF('[1]Leakage Tree Data'!A16&lt;&gt;"",'[1]Leakage Tree Data'!A16,"")</f>
        <v>Total US - Convenience-Gas</v>
      </c>
      <c s="72" t="str">
        <f>IF('[1]Leakage Tree Data'!B16&lt;&gt;"",'[1]Leakage Tree Data'!B16,"")</f>
        <v>Total US - Convenience-Gas</v>
      </c>
      <c s="72">
        <f>IF('[1]Leakage Tree Data'!C16&lt;&gt;"",'[1]Leakage Tree Data'!C16,"")</f>
        <v>121171760.292236</v>
      </c>
      <c s="72">
        <f>IF('[1]Leakage Tree Data'!D16&lt;&gt;"",'[1]Leakage Tree Data'!D16,"")</f>
        <v>40270059.2756653</v>
      </c>
      <c s="72">
        <f>IF('[1]Leakage Tree Data'!E16&lt;&gt;"",'[1]Leakage Tree Data'!E16,"")</f>
        <v>33.2338650346779</v>
      </c>
      <c s="72">
        <f>IF('[1]Leakage Tree Data'!F16&lt;&gt;"",'[1]Leakage Tree Data'!F16,"")</f>
        <v>80901701.016571</v>
      </c>
      <c s="72">
        <f>IF('[1]Leakage Tree Data'!G16&lt;&gt;"",'[1]Leakage Tree Data'!G16,"")</f>
        <v>66.7661349653221</v>
      </c>
      <c s="72">
        <f>IF('[1]Leakage Tree Data'!H16&lt;&gt;"",'[1]Leakage Tree Data'!H16,"")</f>
        <v>61518209.9918823</v>
      </c>
      <c s="72" t="str">
        <f>IF('[1]Leakage Tree Data'!I16&lt;&gt;"",'[1]Leakage Tree Data'!I16,"")</f>
        <v>Convenience-Gas</v>
      </c>
      <c s="72">
        <f>IF('[1]Leakage Tree Data'!J16&lt;&gt;"",'[1]Leakage Tree Data'!J16,"")</f>
        <v>99.6400697654541</v>
      </c>
      <c s="72">
        <f>IF('[1]Leakage Tree Data'!K16&lt;&gt;"",'[1]Leakage Tree Data'!K16,"")</f>
        <v>221422.637512207</v>
      </c>
      <c s="72">
        <f>IF('[1]Leakage Tree Data'!L16&lt;&gt;"",'[1]Leakage Tree Data'!L16,"")</f>
      </c>
      <c s="72">
        <f>IF('[1]Leakage Tree Data'!M16&lt;&gt;"",'[1]Leakage Tree Data'!M16,"")</f>
        <v>1749131.12713623</v>
      </c>
      <c s="72">
        <f>IF('[1]Leakage Tree Data'!N16&lt;&gt;"",'[1]Leakage Tree Data'!N16,"")</f>
      </c>
      <c s="72">
        <f>IF('[1]Leakage Tree Data'!O16&lt;&gt;"",'[1]Leakage Tree Data'!O16,"")</f>
        <v>1.28441904241364</v>
      </c>
      <c s="72">
        <f>IF('[1]Leakage Tree Data'!P16&lt;&gt;"",'[1]Leakage Tree Data'!P16,"")</f>
        <v>4097979.96039629</v>
      </c>
      <c s="72">
        <f>IF('[1]Leakage Tree Data'!Q16&lt;&gt;"",'[1]Leakage Tree Data'!Q16,"")</f>
      </c>
      <c s="72">
        <f>IF('[1]Leakage Tree Data'!R16&lt;&gt;"",'[1]Leakage Tree Data'!R16,"")</f>
        <v>1017625.85098267</v>
      </c>
      <c s="72">
        <f>IF('[1]Leakage Tree Data'!S16&lt;&gt;"",'[1]Leakage Tree Data'!S16,"")</f>
        <v>-1110224.92175293</v>
      </c>
      <c s="72">
        <f>IF('[1]Leakage Tree Data'!T16&lt;&gt;"",'[1]Leakage Tree Data'!T16,"")</f>
        <v>-1.20546940008516</v>
      </c>
      <c s="72">
        <f>IF('[1]Leakage Tree Data'!U16&lt;&gt;"",'[1]Leakage Tree Data'!U16,"")</f>
        <v>2127850.7727356</v>
      </c>
      <c s="72">
        <f>IF('[1]Leakage Tree Data'!V16&lt;&gt;"",'[1]Leakage Tree Data'!V16,"")</f>
        <v>1.20546940008515</v>
      </c>
      <c s="72">
        <f>IF('[1]Leakage Tree Data'!W16&lt;&gt;"",'[1]Leakage Tree Data'!W16,"")</f>
        <v>-1855949.2237854</v>
      </c>
      <c s="72">
        <f>IF('[1]Leakage Tree Data'!X16&lt;&gt;"",'[1]Leakage Tree Data'!X16,"")</f>
      </c>
      <c s="72">
        <f>IF('[1]Leakage Tree Data'!Y16&lt;&gt;"",'[1]Leakage Tree Data'!Y16,"")</f>
        <v>0.0660578936335696</v>
      </c>
      <c s="72">
        <f>IF('[1]Leakage Tree Data'!Z16&lt;&gt;"",'[1]Leakage Tree Data'!Z16,"")</f>
        <v>-48543.7570800781</v>
      </c>
      <c s="72">
        <f>IF('[1]Leakage Tree Data'!AA16&lt;&gt;"",'[1]Leakage Tree Data'!AA16,"")</f>
      </c>
      <c s="72">
        <f>IF('[1]Leakage Tree Data'!AB16&lt;&gt;"",'[1]Leakage Tree Data'!AB16,"")</f>
        <v>-87018.6100444794</v>
      </c>
      <c s="72">
        <f>IF('[1]Leakage Tree Data'!AC16&lt;&gt;"",'[1]Leakage Tree Data'!AC16,"")</f>
      </c>
      <c s="72">
        <f>IF('[1]Leakage Tree Data'!AD16&lt;&gt;"",'[1]Leakage Tree Data'!AD16,"")</f>
        <v>-0.244689680141233</v>
      </c>
      <c s="72">
        <f>IF('[1]Leakage Tree Data'!AE16&lt;&gt;"",'[1]Leakage Tree Data'!AE16,"")</f>
      </c>
      <c s="73">
        <f t="shared" si="4"/>
        <v>1749131.12713623</v>
      </c>
      <c s="73">
        <f t="shared" si="5"/>
      </c>
      <c s="73">
        <f t="shared" si="6"/>
        <v>-87018.6100444794</v>
      </c>
      <c s="73">
        <f t="shared" si="7"/>
      </c>
      <c s="74">
        <f t="shared" si="8"/>
        <v>-1.25608672825114E-06</v>
      </c>
      <c s="74">
        <f t="shared" si="9"/>
      </c>
      <c s="69" t="str">
        <f t="shared" si="0"/>
        <v>Total US - Convenience-Gas</v>
      </c>
      <c s="69" t="str">
        <f t="shared" si="1"/>
        <v>Total US - Convenience-Gas</v>
      </c>
      <c s="77"/>
    </row>
    <row r="118" spans="1:141" ht="15">
      <c r="A1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118,$AL$8:$AL$15,1,FALSE))=TRUE,IF(AND(CV118=CW118,CV118&lt;&gt;"",DI$111&lt;&gt;"",DK118&lt;&gt;""),IF(CW$101="Y",DK118-IF(ISERROR(VLOOKUP(CV118,$CA$113:$DK$300,37,FALSE))=TRUE,0,IF(VLOOKUP(CV118,$CA$113:$DK$300,37,FALSE)="",0,VLOOKUP(CV118,$CA$113:$DK$300,37,FALSE))),DK118-IF(AND(CW$102="Y",CV118=$CW$111),DI$111,0)),""),"")</f>
        <v>27101147.6429348</v>
      </c>
      <c s="76">
        <f>IF(ISERROR(VLOOKUP(CV118,$AL$8:$AL$15,1,FALSE))=TRUE,IF(CB118&lt;&gt;"",IF(CB118&gt;0,IF(Z$4&lt;&gt;"",MIN(4,RANK(CB118,$CB$111:$CB$300)),RANK(CB118,$CB$111:$CB$300)),""),""),"")</f>
        <v>4</v>
      </c>
      <c s="75">
        <f>IF(ISERROR(VLOOKUP(CV118,$AL$8:$AL$15,1,FALSE))=TRUE,IF(AND(ISERROR(FIND("NeighMkt",$CX$102))=FALSE,LEFT($CW$111,10)="ALL OUTLET",$CA118&lt;&gt;"",DK118&lt;&gt;""),"",IF(AND($CV118&lt;&gt;$CW118,$CW118=CD$110),$DK118,"")),"")</f>
      </c>
      <c s="76">
        <f>IF(ISERROR(VLOOKUP(CV118,$AL$8:$AL$15,1,FALSE))=TRUE,IF(CD118&lt;&gt;"",IF(CD118&gt;0,RANK(CD118,$CD$111:$CD$300),""),""),"")</f>
      </c>
      <c s="75">
        <f>IF(ISERROR(VLOOKUP(CV118,$AL$8:$AL$15,1,FALSE))=TRUE,IF(AND(ISERROR(FIND("NeighMkt",$CX$102))=FALSE,LEFT($CW$111,10)="ALL OUTLET",$CA118&lt;&gt;"",DK118&lt;&gt;""),"",IF(AND($CV118&lt;&gt;$CW118,$CW118=CF$110),$DK118,"")),"")</f>
      </c>
      <c s="76">
        <f>IF(ISERROR(VLOOKUP(CV118,$AL$8:$AL$15,1,FALSE))=TRUE,IF(CF118&lt;&gt;"",IF(CF118&gt;0,RANK(CF118,$CF$111:$CF$300),""),""),"")</f>
      </c>
      <c s="75">
        <f>IF(ISERROR(VLOOKUP(CV118,$AL$8:$AL$15,1,FALSE))=TRUE,IF(AND(ISERROR(FIND("NeighMkt",$CX$102))=FALSE,LEFT($CW$111,10)="ALL OUTLET",$CA118&lt;&gt;"",DK118&lt;&gt;""),"",IF(AND($CV118&lt;&gt;$CW118,$CW118=CH$110),$DK118,"")),"")</f>
      </c>
      <c s="76">
        <f>IF(ISERROR(VLOOKUP(CV118,$AL$8:$AL$15,1,FALSE))=TRUE,IF(CH118&lt;&gt;"",IF(CH118&gt;0,RANK(CH118,$CH$111:$CH$300),""),""),"")</f>
      </c>
      <c s="75">
        <f>IF(ISERROR(VLOOKUP(CV118,$AL$8:$AL$15,1,FALSE))=TRUE,IF(AND(ISERROR(FIND("NeighMkt",$CX$102))=FALSE,LEFT($CW$111,10)="ALL OUTLET",$CA118&lt;&gt;"",DK118&lt;&gt;""),"",IF($Z$4="",IF(AND($CV118&lt;&gt;$CW118,$CW118=CJ$110),$DK118,""),IF(AND($CV118&lt;&gt;$CW118,$CW118&lt;&gt;CD$110,$CW118&lt;&gt;CF$110,$CW118&lt;&gt;CH$110,$CW118&lt;&gt;$CV$111),$DK118,""))),"")</f>
      </c>
      <c s="76">
        <f>IF(ISERROR(VLOOKUP(CV118,$AL$8:$AL$15,1,FALSE))=TRUE,IF(CJ118&lt;&gt;"",IF(CJ118&gt;0,RANK(CJ118,$CJ$111:$CJ$300),""),""),"")</f>
      </c>
      <c s="75">
        <f>IF(ISERROR(VLOOKUP(CV118,$AL$8:$AL$15,1,FALSE))=TRUE,IF(AND(CV118=CW118,CV118&lt;&gt;"",DJ118&lt;&gt;""),IF(AND(ISERROR(FIND("NeighMkt",$CX$102))=FALSE,LEFT($CW$111,10)="ALL OUTLET"),DJ118-IF(ISERROR(VLOOKUP(CV118,$CA$113:$DK$300,36,FALSE))=TRUE,0,IF(VLOOKUP(CV118,$CA$113:$DK$300,36,FALSE)="",0,VLOOKUP(CV118,$CA$113:$DK$300,36,FALSE))),DJ118),""),"")</f>
        <v>118574240.317994</v>
      </c>
      <c s="76">
        <f>IF(ISERROR(VLOOKUP(CV118,$AL$8:$AL$15,1,FALSE))=TRUE,IF(CL118&lt;&gt;"",IF(CL118&gt;0,IF($Z$4&lt;&gt;"",MIN(4,RANK(CL118,$CL$111:$CL$300)),RANK(CL118,$CL$111:$CL$300)),""),""),"")</f>
        <v>4</v>
      </c>
      <c s="75">
        <f>IF(ISERROR(VLOOKUP(CV118,$AL$8:$AL$15,1,FALSE))=TRUE,IF(AND(ISERROR(FIND("NeighMkt",$CX$102))=FALSE,LEFT($CW$111,10)="ALL OUTLET",$CA118&lt;&gt;"",DJ118&lt;&gt;""),"",IF(AND($CV118&lt;&gt;$CW118,$CW118=CN$110),$DJ118,"")),"")</f>
      </c>
      <c s="76">
        <f>IF(ISERROR(VLOOKUP(CV118,$AL$8:$AL$15,1,FALSE))=TRUE,IF(CN118&lt;&gt;"",IF(CN118&gt;0,RANK(CN118,$CN$111:$CN$300),""),""),"")</f>
      </c>
      <c s="75">
        <f>IF(ISERROR(VLOOKUP(CV118,$AL$8:$AL$15,1,FALSE))=TRUE,IF(AND(ISERROR(FIND("NeighMkt",$CX$102))=FALSE,LEFT($CW$111,10)="ALL OUTLET",$CA118&lt;&gt;"",DJ118&lt;&gt;""),"",IF(AND($CV118&lt;&gt;$CW118,$CW118=CP$110),$DJ118,"")),"")</f>
      </c>
      <c s="76">
        <f>IF(ISERROR(VLOOKUP(CV118,$AL$8:$AL$15,1,FALSE))=TRUE,IF(CP118&lt;&gt;"",IF(CP118&gt;0,RANK(CP118,$CP$111:$CP$300),""),""),"")</f>
      </c>
      <c s="75">
        <f>IF(ISERROR(VLOOKUP(CV118,$AL$8:$AL$15,1,FALSE))=TRUE,IF(AND(ISERROR(FIND("NeighMkt",$CX$102))=FALSE,LEFT($CW$111,10)="ALL OUTLET",$CA118&lt;&gt;"",DJ118&lt;&gt;""),"",IF(AND($CV118&lt;&gt;$CW118,$CW118=CR$110),$DJ118,"")),"")</f>
      </c>
      <c s="76">
        <f>IF(ISERROR(VLOOKUP(CV118,$AL$8:$AL$15,1,FALSE))=TRUE,IF(CR118&lt;&gt;"",IF(CR118&gt;0,RANK(CR118,$CR$111:$CR$300),""),""),"")</f>
      </c>
      <c s="75">
        <f>IF(ISERROR(VLOOKUP(CV118,$AL$8:$AL$15,1,FALSE))=TRUE,IF(AND(ISERROR(FIND("NeighMkt",$CX$102))=FALSE,LEFT($CW$111,10)="ALL OUTLET",$CA118&lt;&gt;"",DJ118&lt;&gt;""),"",IF($Z$4="",IF(AND($CV118&lt;&gt;$CW118,$CW118=CT$110),$DJ118,""),IF(AND($CV118&lt;&gt;$CW118,$CW118&lt;&gt;CN$110,$CW118&lt;&gt;CP$110,$CW118&lt;&gt;CR$110,$CW118&lt;&gt;$CV$111),$DJ118,""))),"")</f>
      </c>
      <c s="76">
        <f>IF(ISERROR(VLOOKUP(CV118,$AL$8:$AL$15,1,FALSE))=TRUE,IF(CT118&lt;&gt;"",IF(CT118&gt;0,RANK(CT118,$CT$111:$CT$300),""),""),"")</f>
      </c>
      <c s="65" t="str">
        <f t="shared" si="2"/>
        <v>Dollar</v>
      </c>
      <c s="65" t="str">
        <f t="shared" si="3"/>
        <v>Dollar</v>
      </c>
      <c s="72" t="str">
        <f>IF('[1]Leakage Tree Data'!A17&lt;&gt;"",'[1]Leakage Tree Data'!A17,"")</f>
        <v>Total US - Dollar</v>
      </c>
      <c s="72" t="str">
        <f>IF('[1]Leakage Tree Data'!B17&lt;&gt;"",'[1]Leakage Tree Data'!B17,"")</f>
        <v>Total US - Dollar</v>
      </c>
      <c s="72">
        <f>IF('[1]Leakage Tree Data'!C17&lt;&gt;"",'[1]Leakage Tree Data'!C17,"")</f>
        <v>121171760.292236</v>
      </c>
      <c s="72">
        <f>IF('[1]Leakage Tree Data'!D17&lt;&gt;"",'[1]Leakage Tree Data'!D17,"")</f>
        <v>78403198.1786499</v>
      </c>
      <c s="72">
        <f>IF('[1]Leakage Tree Data'!E17&lt;&gt;"",'[1]Leakage Tree Data'!E17,"")</f>
        <v>64.7041835404229</v>
      </c>
      <c s="72">
        <f>IF('[1]Leakage Tree Data'!F17&lt;&gt;"",'[1]Leakage Tree Data'!F17,"")</f>
        <v>42768562.1135864</v>
      </c>
      <c s="72">
        <f>IF('[1]Leakage Tree Data'!G17&lt;&gt;"",'[1]Leakage Tree Data'!G17,"")</f>
        <v>35.2958164595771</v>
      </c>
      <c s="72">
        <f>IF('[1]Leakage Tree Data'!H17&lt;&gt;"",'[1]Leakage Tree Data'!H17,"")</f>
        <v>61518209.9918823</v>
      </c>
      <c s="72" t="str">
        <f>IF('[1]Leakage Tree Data'!I17&lt;&gt;"",'[1]Leakage Tree Data'!I17,"")</f>
        <v>Dollar</v>
      </c>
      <c s="72">
        <f>IF('[1]Leakage Tree Data'!J17&lt;&gt;"",'[1]Leakage Tree Data'!J17,"")</f>
        <v>83.4657380486263</v>
      </c>
      <c s="72">
        <f>IF('[1]Leakage Tree Data'!K17&lt;&gt;"",'[1]Leakage Tree Data'!K17,"")</f>
        <v>10171581.987854</v>
      </c>
      <c s="72">
        <f>IF('[1]Leakage Tree Data'!L17&lt;&gt;"",'[1]Leakage Tree Data'!L17,"")</f>
        <v>27101147.6429348</v>
      </c>
      <c s="72">
        <f>IF('[1]Leakage Tree Data'!M17&lt;&gt;"",'[1]Leakage Tree Data'!M17,"")</f>
        <v>118574240.317994</v>
      </c>
      <c s="72">
        <f>IF('[1]Leakage Tree Data'!N17&lt;&gt;"",'[1]Leakage Tree Data'!N17,"")</f>
        <v>27101147.6429348</v>
      </c>
      <c s="72">
        <f>IF('[1]Leakage Tree Data'!O17&lt;&gt;"",'[1]Leakage Tree Data'!O17,"")</f>
        <v>29.9296720642789</v>
      </c>
      <c s="72">
        <f>IF('[1]Leakage Tree Data'!P17&lt;&gt;"",'[1]Leakage Tree Data'!P17,"")</f>
        <v>10548756.8955577</v>
      </c>
      <c s="72">
        <f>IF('[1]Leakage Tree Data'!Q17&lt;&gt;"",'[1]Leakage Tree Data'!Q17,"")</f>
      </c>
      <c s="72">
        <f>IF('[1]Leakage Tree Data'!R17&lt;&gt;"",'[1]Leakage Tree Data'!R17,"")</f>
        <v>1017625.85098267</v>
      </c>
      <c s="72">
        <f>IF('[1]Leakage Tree Data'!S17&lt;&gt;"",'[1]Leakage Tree Data'!S17,"")</f>
        <v>505171.233154297</v>
      </c>
      <c s="72">
        <f>IF('[1]Leakage Tree Data'!T17&lt;&gt;"",'[1]Leakage Tree Data'!T17,"")</f>
        <v>-0.127565535662228</v>
      </c>
      <c s="72">
        <f>IF('[1]Leakage Tree Data'!U17&lt;&gt;"",'[1]Leakage Tree Data'!U17,"")</f>
        <v>512454.617828369</v>
      </c>
      <c s="72">
        <f>IF('[1]Leakage Tree Data'!V17&lt;&gt;"",'[1]Leakage Tree Data'!V17,"")</f>
        <v>0.127565535662228</v>
      </c>
      <c s="72">
        <f>IF('[1]Leakage Tree Data'!W17&lt;&gt;"",'[1]Leakage Tree Data'!W17,"")</f>
        <v>-1855949.2237854</v>
      </c>
      <c s="72">
        <f>IF('[1]Leakage Tree Data'!X17&lt;&gt;"",'[1]Leakage Tree Data'!X17,"")</f>
      </c>
      <c s="72">
        <f>IF('[1]Leakage Tree Data'!Y17&lt;&gt;"",'[1]Leakage Tree Data'!Y17,"")</f>
        <v>-0.397488347905764</v>
      </c>
      <c s="72">
        <f>IF('[1]Leakage Tree Data'!Z17&lt;&gt;"",'[1]Leakage Tree Data'!Z17,"")</f>
        <v>-54962.6078796387</v>
      </c>
      <c s="72">
        <f>IF('[1]Leakage Tree Data'!AA17&lt;&gt;"",'[1]Leakage Tree Data'!AA17,"")</f>
        <v>-3309982.44059181</v>
      </c>
      <c s="72">
        <f>IF('[1]Leakage Tree Data'!AB17&lt;&gt;"",'[1]Leakage Tree Data'!AB17,"")</f>
        <v>-8054727.41242504</v>
      </c>
      <c s="72">
        <f>IF('[1]Leakage Tree Data'!AC17&lt;&gt;"",'[1]Leakage Tree Data'!AC17,"")</f>
        <v>-3309982.44059181</v>
      </c>
      <c s="72">
        <f>IF('[1]Leakage Tree Data'!AD17&lt;&gt;"",'[1]Leakage Tree Data'!AD17,"")</f>
        <v>-0.589955134021743</v>
      </c>
      <c s="72">
        <f>IF('[1]Leakage Tree Data'!AE17&lt;&gt;"",'[1]Leakage Tree Data'!AE17,"")</f>
      </c>
      <c s="73">
        <f t="shared" si="4"/>
        <v>118574240.317994</v>
      </c>
      <c s="73">
        <f t="shared" si="5"/>
        <v>27101147.6429348</v>
      </c>
      <c s="73">
        <f t="shared" si="6"/>
        <v>-8054727.41242504</v>
      </c>
      <c s="73">
        <f t="shared" si="7"/>
        <v>-3309982.44059181</v>
      </c>
      <c s="74">
        <f t="shared" si="8"/>
        <v>-0.00122402997393956</v>
      </c>
      <c s="74">
        <f t="shared" si="9"/>
        <v>0.00221907200316913</v>
      </c>
      <c s="69" t="str">
        <f t="shared" si="0"/>
        <v>Total US - Dollar</v>
      </c>
      <c s="69" t="str">
        <f t="shared" si="1"/>
        <v>Total US - Dollar</v>
      </c>
      <c s="77"/>
    </row>
    <row r="119" spans="1:141" ht="15">
      <c r="A1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119,$AL$8:$AL$15,1,FALSE))=TRUE,IF(AND(CV119=CW119,CV119&lt;&gt;"",DI$111&lt;&gt;"",DK119&lt;&gt;""),IF(CW$101="Y",DK119-IF(ISERROR(VLOOKUP(CV119,$CA$113:$DK$300,37,FALSE))=TRUE,0,IF(VLOOKUP(CV119,$CA$113:$DK$300,37,FALSE)="",0,VLOOKUP(CV119,$CA$113:$DK$300,37,FALSE))),DK119-IF(AND(CW$102="Y",CV119=$CW$111),DI$111,0)),""),"")</f>
      </c>
      <c s="76">
        <f>IF(ISERROR(VLOOKUP(CV119,$AL$8:$AL$15,1,FALSE))=TRUE,IF(CB119&lt;&gt;"",IF(CB119&gt;0,IF(Z$4&lt;&gt;"",MIN(4,RANK(CB119,$CB$111:$CB$300)),RANK(CB119,$CB$111:$CB$300)),""),""),"")</f>
      </c>
      <c s="75">
        <f>IF(ISERROR(VLOOKUP(CV119,$AL$8:$AL$15,1,FALSE))=TRUE,IF(AND(ISERROR(FIND("NeighMkt",$CX$102))=FALSE,LEFT($CW$111,10)="ALL OUTLET",$CA119&lt;&gt;"",DK119&lt;&gt;""),"",IF(AND($CV119&lt;&gt;$CW119,$CW119=CD$110),$DK119,"")),"")</f>
      </c>
      <c s="76">
        <f>IF(ISERROR(VLOOKUP(CV119,$AL$8:$AL$15,1,FALSE))=TRUE,IF(CD119&lt;&gt;"",IF(CD119&gt;0,RANK(CD119,$CD$111:$CD$300),""),""),"")</f>
      </c>
      <c s="75">
        <f>IF(ISERROR(VLOOKUP(CV119,$AL$8:$AL$15,1,FALSE))=TRUE,IF(AND(ISERROR(FIND("NeighMkt",$CX$102))=FALSE,LEFT($CW$111,10)="ALL OUTLET",$CA119&lt;&gt;"",DK119&lt;&gt;""),"",IF(AND($CV119&lt;&gt;$CW119,$CW119=CF$110),$DK119,"")),"")</f>
      </c>
      <c s="76">
        <f>IF(ISERROR(VLOOKUP(CV119,$AL$8:$AL$15,1,FALSE))=TRUE,IF(CF119&lt;&gt;"",IF(CF119&gt;0,RANK(CF119,$CF$111:$CF$300),""),""),"")</f>
      </c>
      <c s="75">
        <f>IF(ISERROR(VLOOKUP(CV119,$AL$8:$AL$15,1,FALSE))=TRUE,IF(AND(ISERROR(FIND("NeighMkt",$CX$102))=FALSE,LEFT($CW$111,10)="ALL OUTLET",$CA119&lt;&gt;"",DK119&lt;&gt;""),"",IF(AND($CV119&lt;&gt;$CW119,$CW119=CH$110),$DK119,"")),"")</f>
      </c>
      <c s="76">
        <f>IF(ISERROR(VLOOKUP(CV119,$AL$8:$AL$15,1,FALSE))=TRUE,IF(CH119&lt;&gt;"",IF(CH119&gt;0,RANK(CH119,$CH$111:$CH$300),""),""),"")</f>
      </c>
      <c s="75">
        <f>IF(ISERROR(VLOOKUP(CV119,$AL$8:$AL$15,1,FALSE))=TRUE,IF(AND(ISERROR(FIND("NeighMkt",$CX$102))=FALSE,LEFT($CW$111,10)="ALL OUTLET",$CA119&lt;&gt;"",DK119&lt;&gt;""),"",IF($Z$4="",IF(AND($CV119&lt;&gt;$CW119,$CW119=CJ$110),$DK119,""),IF(AND($CV119&lt;&gt;$CW119,$CW119&lt;&gt;CD$110,$CW119&lt;&gt;CF$110,$CW119&lt;&gt;CH$110,$CW119&lt;&gt;$CV$111),$DK119,""))),"")</f>
      </c>
      <c s="76">
        <f>IF(ISERROR(VLOOKUP(CV119,$AL$8:$AL$15,1,FALSE))=TRUE,IF(CJ119&lt;&gt;"",IF(CJ119&gt;0,RANK(CJ119,$CJ$111:$CJ$300),""),""),"")</f>
      </c>
      <c s="75">
        <f>IF(ISERROR(VLOOKUP(CV119,$AL$8:$AL$15,1,FALSE))=TRUE,IF(AND(CV119=CW119,CV119&lt;&gt;"",DJ119&lt;&gt;""),IF(AND(ISERROR(FIND("NeighMkt",$CX$102))=FALSE,LEFT($CW$111,10)="ALL OUTLET"),DJ119-IF(ISERROR(VLOOKUP(CV119,$CA$113:$DK$300,36,FALSE))=TRUE,0,IF(VLOOKUP(CV119,$CA$113:$DK$300,36,FALSE)="",0,VLOOKUP(CV119,$CA$113:$DK$300,36,FALSE))),DJ119),""),"")</f>
      </c>
      <c s="76">
        <f>IF(ISERROR(VLOOKUP(CV119,$AL$8:$AL$15,1,FALSE))=TRUE,IF(CL119&lt;&gt;"",IF(CL119&gt;0,IF($Z$4&lt;&gt;"",MIN(4,RANK(CL119,$CL$111:$CL$300)),RANK(CL119,$CL$111:$CL$300)),""),""),"")</f>
      </c>
      <c s="75">
        <f>IF(ISERROR(VLOOKUP(CV119,$AL$8:$AL$15,1,FALSE))=TRUE,IF(AND(ISERROR(FIND("NeighMkt",$CX$102))=FALSE,LEFT($CW$111,10)="ALL OUTLET",$CA119&lt;&gt;"",DJ119&lt;&gt;""),"",IF(AND($CV119&lt;&gt;$CW119,$CW119=CN$110),$DJ119,"")),"")</f>
      </c>
      <c s="76">
        <f>IF(ISERROR(VLOOKUP(CV119,$AL$8:$AL$15,1,FALSE))=TRUE,IF(CN119&lt;&gt;"",IF(CN119&gt;0,RANK(CN119,$CN$111:$CN$300),""),""),"")</f>
      </c>
      <c s="75">
        <f>IF(ISERROR(VLOOKUP(CV119,$AL$8:$AL$15,1,FALSE))=TRUE,IF(AND(ISERROR(FIND("NeighMkt",$CX$102))=FALSE,LEFT($CW$111,10)="ALL OUTLET",$CA119&lt;&gt;"",DJ119&lt;&gt;""),"",IF(AND($CV119&lt;&gt;$CW119,$CW119=CP$110),$DJ119,"")),"")</f>
      </c>
      <c s="76">
        <f>IF(ISERROR(VLOOKUP(CV119,$AL$8:$AL$15,1,FALSE))=TRUE,IF(CP119&lt;&gt;"",IF(CP119&gt;0,RANK(CP119,$CP$111:$CP$300),""),""),"")</f>
      </c>
      <c s="75">
        <f>IF(ISERROR(VLOOKUP(CV119,$AL$8:$AL$15,1,FALSE))=TRUE,IF(AND(ISERROR(FIND("NeighMkt",$CX$102))=FALSE,LEFT($CW$111,10)="ALL OUTLET",$CA119&lt;&gt;"",DJ119&lt;&gt;""),"",IF(AND($CV119&lt;&gt;$CW119,$CW119=CR$110),$DJ119,"")),"")</f>
      </c>
      <c s="76">
        <f>IF(ISERROR(VLOOKUP(CV119,$AL$8:$AL$15,1,FALSE))=TRUE,IF(CR119&lt;&gt;"",IF(CR119&gt;0,RANK(CR119,$CR$111:$CR$300),""),""),"")</f>
      </c>
      <c s="75">
        <f>IF(ISERROR(VLOOKUP(CV119,$AL$8:$AL$15,1,FALSE))=TRUE,IF(AND(ISERROR(FIND("NeighMkt",$CX$102))=FALSE,LEFT($CW$111,10)="ALL OUTLET",$CA119&lt;&gt;"",DJ119&lt;&gt;""),"",IF($Z$4="",IF(AND($CV119&lt;&gt;$CW119,$CW119=CT$110),$DJ119,""),IF(AND($CV119&lt;&gt;$CW119,$CW119&lt;&gt;CN$110,$CW119&lt;&gt;CP$110,$CW119&lt;&gt;CR$110,$CW119&lt;&gt;$CV$111),$DJ119,""))),"")</f>
        <v>1373945.76435852</v>
      </c>
      <c s="76">
        <f>IF(ISERROR(VLOOKUP(CV119,$AL$8:$AL$15,1,FALSE))=TRUE,IF(CT119&lt;&gt;"",IF(CT119&gt;0,RANK(CT119,$CT$111:$CT$300),""),""),"")</f>
        <v>18</v>
      </c>
      <c s="65" t="str">
        <f t="shared" si="2"/>
        <v>Deals Dollar Store</v>
      </c>
      <c s="65" t="str">
        <f t="shared" si="3"/>
        <v>Dollar</v>
      </c>
      <c s="72" t="str">
        <f>IF('[1]Leakage Tree Data'!A18&lt;&gt;"",'[1]Leakage Tree Data'!A18,"")</f>
        <v>Total US - Deals Dollar Store</v>
      </c>
      <c s="72" t="str">
        <f>IF('[1]Leakage Tree Data'!B18&lt;&gt;"",'[1]Leakage Tree Data'!B18,"")</f>
        <v>Total US - Dollar</v>
      </c>
      <c s="72">
        <f>IF('[1]Leakage Tree Data'!C18&lt;&gt;"",'[1]Leakage Tree Data'!C18,"")</f>
        <v>121171760.292236</v>
      </c>
      <c s="72">
        <f>IF('[1]Leakage Tree Data'!D18&lt;&gt;"",'[1]Leakage Tree Data'!D18,"")</f>
        <v>2813408.28234863</v>
      </c>
      <c s="72">
        <f>IF('[1]Leakage Tree Data'!E18&lt;&gt;"",'[1]Leakage Tree Data'!E18,"")</f>
        <v>2.32183495194209</v>
      </c>
      <c s="72">
        <f>IF('[1]Leakage Tree Data'!F18&lt;&gt;"",'[1]Leakage Tree Data'!F18,"")</f>
        <v>118358352.009888</v>
      </c>
      <c s="72">
        <f>IF('[1]Leakage Tree Data'!G18&lt;&gt;"",'[1]Leakage Tree Data'!G18,"")</f>
        <v>97.6781650480579</v>
      </c>
      <c s="72">
        <f>IF('[1]Leakage Tree Data'!H18&lt;&gt;"",'[1]Leakage Tree Data'!H18,"")</f>
        <v>61518209.9918823</v>
      </c>
      <c s="72" t="str">
        <f>IF('[1]Leakage Tree Data'!I18&lt;&gt;"",'[1]Leakage Tree Data'!I18,"")</f>
        <v>Dollar</v>
      </c>
      <c s="72">
        <f>IF('[1]Leakage Tree Data'!J18&lt;&gt;"",'[1]Leakage Tree Data'!J18,"")</f>
        <v>99.717800108221</v>
      </c>
      <c s="72">
        <f>IF('[1]Leakage Tree Data'!K18&lt;&gt;"",'[1]Leakage Tree Data'!K18,"")</f>
        <v>173604.322021484</v>
      </c>
      <c s="72">
        <f>IF('[1]Leakage Tree Data'!L18&lt;&gt;"",'[1]Leakage Tree Data'!L18,"")</f>
      </c>
      <c s="72">
        <f>IF('[1]Leakage Tree Data'!M18&lt;&gt;"",'[1]Leakage Tree Data'!M18,"")</f>
        <v>1373945.76435852</v>
      </c>
      <c s="72">
        <f>IF('[1]Leakage Tree Data'!N18&lt;&gt;"",'[1]Leakage Tree Data'!N18,"")</f>
      </c>
      <c s="72">
        <f>IF('[1]Leakage Tree Data'!O18&lt;&gt;"",'[1]Leakage Tree Data'!O18,"")</f>
        <v>10.8788879221134</v>
      </c>
      <c s="72">
        <f>IF('[1]Leakage Tree Data'!P18&lt;&gt;"",'[1]Leakage Tree Data'!P18,"")</f>
        <v>180958.162127344</v>
      </c>
      <c s="72">
        <f>IF('[1]Leakage Tree Data'!Q18&lt;&gt;"",'[1]Leakage Tree Data'!Q18,"")</f>
      </c>
      <c s="72">
        <f>IF('[1]Leakage Tree Data'!R18&lt;&gt;"",'[1]Leakage Tree Data'!R18,"")</f>
        <v>1017625.85098267</v>
      </c>
      <c s="72">
        <f>IF('[1]Leakage Tree Data'!S18&lt;&gt;"",'[1]Leakage Tree Data'!S18,"")</f>
        <v>-157296.78503418</v>
      </c>
      <c s="72">
        <f>IF('[1]Leakage Tree Data'!T18&lt;&gt;"",'[1]Leakage Tree Data'!T18,"")</f>
        <v>-0.150576905708352</v>
      </c>
      <c s="72">
        <f>IF('[1]Leakage Tree Data'!U18&lt;&gt;"",'[1]Leakage Tree Data'!U18,"")</f>
        <v>1174922.63601685</v>
      </c>
      <c s="72">
        <f>IF('[1]Leakage Tree Data'!V18&lt;&gt;"",'[1]Leakage Tree Data'!V18,"")</f>
        <v>0.150576905708348</v>
      </c>
      <c s="72">
        <f>IF('[1]Leakage Tree Data'!W18&lt;&gt;"",'[1]Leakage Tree Data'!W18,"")</f>
        <v>-1855949.2237854</v>
      </c>
      <c s="72">
        <f>IF('[1]Leakage Tree Data'!X18&lt;&gt;"",'[1]Leakage Tree Data'!X18,"")</f>
      </c>
      <c s="72">
        <f>IF('[1]Leakage Tree Data'!Y18&lt;&gt;"",'[1]Leakage Tree Data'!Y18,"")</f>
        <v>0.0195322569514502</v>
      </c>
      <c s="72">
        <f>IF('[1]Leakage Tree Data'!Z18&lt;&gt;"",'[1]Leakage Tree Data'!Z18,"")</f>
        <v>-17615.8903198242</v>
      </c>
      <c s="72">
        <f>IF('[1]Leakage Tree Data'!AA18&lt;&gt;"",'[1]Leakage Tree Data'!AA18,"")</f>
      </c>
      <c s="72">
        <f>IF('[1]Leakage Tree Data'!AB18&lt;&gt;"",'[1]Leakage Tree Data'!AB18,"")</f>
        <v>98119.960647583</v>
      </c>
      <c s="72">
        <f>IF('[1]Leakage Tree Data'!AC18&lt;&gt;"",'[1]Leakage Tree Data'!AC18,"")</f>
      </c>
      <c s="72">
        <f>IF('[1]Leakage Tree Data'!AD18&lt;&gt;"",'[1]Leakage Tree Data'!AD18,"")</f>
        <v>-1.47437306324709</v>
      </c>
      <c s="72">
        <f>IF('[1]Leakage Tree Data'!AE18&lt;&gt;"",'[1]Leakage Tree Data'!AE18,"")</f>
      </c>
      <c s="73">
        <f t="shared" si="4"/>
      </c>
      <c s="73">
        <f t="shared" si="5"/>
      </c>
      <c s="73">
        <f t="shared" si="6"/>
      </c>
      <c s="73">
        <f t="shared" si="7"/>
      </c>
      <c s="74">
        <f t="shared" si="8"/>
      </c>
      <c s="74">
        <f t="shared" si="9"/>
      </c>
      <c s="69" t="str">
        <f t="shared" si="0"/>
        <v>Total US - Deals Dollar Store</v>
      </c>
      <c s="69" t="str">
        <f t="shared" si="1"/>
        <v>Total US - Dollar</v>
      </c>
      <c s="77"/>
    </row>
    <row r="120" spans="1:141" ht="15">
      <c r="A1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120,$AL$8:$AL$15,1,FALSE))=TRUE,IF(AND(CV120=CW120,CV120&lt;&gt;"",DI$111&lt;&gt;"",DK120&lt;&gt;""),IF(CW$101="Y",DK120-IF(ISERROR(VLOOKUP(CV120,$CA$113:$DK$300,37,FALSE))=TRUE,0,IF(VLOOKUP(CV120,$CA$113:$DK$300,37,FALSE)="",0,VLOOKUP(CV120,$CA$113:$DK$300,37,FALSE))),DK120-IF(AND(CW$102="Y",CV120=$CW$111),DI$111,0)),""),"")</f>
      </c>
      <c s="76">
        <f>IF(ISERROR(VLOOKUP(CV120,$AL$8:$AL$15,1,FALSE))=TRUE,IF(CB120&lt;&gt;"",IF(CB120&gt;0,IF(Z$4&lt;&gt;"",MIN(4,RANK(CB120,$CB$111:$CB$300)),RANK(CB120,$CB$111:$CB$300)),""),""),"")</f>
      </c>
      <c s="75">
        <f>IF(ISERROR(VLOOKUP(CV120,$AL$8:$AL$15,1,FALSE))=TRUE,IF(AND(ISERROR(FIND("NeighMkt",$CX$102))=FALSE,LEFT($CW$111,10)="ALL OUTLET",$CA120&lt;&gt;"",DK120&lt;&gt;""),"",IF(AND($CV120&lt;&gt;$CW120,$CW120=CD$110),$DK120,"")),"")</f>
      </c>
      <c s="76">
        <f>IF(ISERROR(VLOOKUP(CV120,$AL$8:$AL$15,1,FALSE))=TRUE,IF(CD120&lt;&gt;"",IF(CD120&gt;0,RANK(CD120,$CD$111:$CD$300),""),""),"")</f>
      </c>
      <c s="75">
        <f>IF(ISERROR(VLOOKUP(CV120,$AL$8:$AL$15,1,FALSE))=TRUE,IF(AND(ISERROR(FIND("NeighMkt",$CX$102))=FALSE,LEFT($CW$111,10)="ALL OUTLET",$CA120&lt;&gt;"",DK120&lt;&gt;""),"",IF(AND($CV120&lt;&gt;$CW120,$CW120=CF$110),$DK120,"")),"")</f>
      </c>
      <c s="76">
        <f>IF(ISERROR(VLOOKUP(CV120,$AL$8:$AL$15,1,FALSE))=TRUE,IF(CF120&lt;&gt;"",IF(CF120&gt;0,RANK(CF120,$CF$111:$CF$300),""),""),"")</f>
      </c>
      <c s="75">
        <f>IF(ISERROR(VLOOKUP(CV120,$AL$8:$AL$15,1,FALSE))=TRUE,IF(AND(ISERROR(FIND("NeighMkt",$CX$102))=FALSE,LEFT($CW$111,10)="ALL OUTLET",$CA120&lt;&gt;"",DK120&lt;&gt;""),"",IF(AND($CV120&lt;&gt;$CW120,$CW120=CH$110),$DK120,"")),"")</f>
      </c>
      <c s="76">
        <f>IF(ISERROR(VLOOKUP(CV120,$AL$8:$AL$15,1,FALSE))=TRUE,IF(CH120&lt;&gt;"",IF(CH120&gt;0,RANK(CH120,$CH$111:$CH$300),""),""),"")</f>
      </c>
      <c s="75">
        <f>IF(ISERROR(VLOOKUP(CV120,$AL$8:$AL$15,1,FALSE))=TRUE,IF(AND(ISERROR(FIND("NeighMkt",$CX$102))=FALSE,LEFT($CW$111,10)="ALL OUTLET",$CA120&lt;&gt;"",DK120&lt;&gt;""),"",IF($Z$4="",IF(AND($CV120&lt;&gt;$CW120,$CW120=CJ$110),$DK120,""),IF(AND($CV120&lt;&gt;$CW120,$CW120&lt;&gt;CD$110,$CW120&lt;&gt;CF$110,$CW120&lt;&gt;CH$110,$CW120&lt;&gt;$CV$111),$DK120,""))),"")</f>
        <v>11256588.6043549</v>
      </c>
      <c s="76">
        <f>IF(ISERROR(VLOOKUP(CV120,$AL$8:$AL$15,1,FALSE))=TRUE,IF(CJ120&lt;&gt;"",IF(CJ120&gt;0,RANK(CJ120,$CJ$111:$CJ$300),""),""),"")</f>
        <v>3</v>
      </c>
      <c s="75">
        <f>IF(ISERROR(VLOOKUP(CV120,$AL$8:$AL$15,1,FALSE))=TRUE,IF(AND(CV120=CW120,CV120&lt;&gt;"",DJ120&lt;&gt;""),IF(AND(ISERROR(FIND("NeighMkt",$CX$102))=FALSE,LEFT($CW$111,10)="ALL OUTLET"),DJ120-IF(ISERROR(VLOOKUP(CV120,$CA$113:$DK$300,36,FALSE))=TRUE,0,IF(VLOOKUP(CV120,$CA$113:$DK$300,36,FALSE)="",0,VLOOKUP(CV120,$CA$113:$DK$300,36,FALSE))),DJ120),""),"")</f>
      </c>
      <c s="76">
        <f>IF(ISERROR(VLOOKUP(CV120,$AL$8:$AL$15,1,FALSE))=TRUE,IF(CL120&lt;&gt;"",IF(CL120&gt;0,IF($Z$4&lt;&gt;"",MIN(4,RANK(CL120,$CL$111:$CL$300)),RANK(CL120,$CL$111:$CL$300)),""),""),"")</f>
      </c>
      <c s="75">
        <f>IF(ISERROR(VLOOKUP(CV120,$AL$8:$AL$15,1,FALSE))=TRUE,IF(AND(ISERROR(FIND("NeighMkt",$CX$102))=FALSE,LEFT($CW$111,10)="ALL OUTLET",$CA120&lt;&gt;"",DJ120&lt;&gt;""),"",IF(AND($CV120&lt;&gt;$CW120,$CW120=CN$110),$DJ120,"")),"")</f>
      </c>
      <c s="76">
        <f>IF(ISERROR(VLOOKUP(CV120,$AL$8:$AL$15,1,FALSE))=TRUE,IF(CN120&lt;&gt;"",IF(CN120&gt;0,RANK(CN120,$CN$111:$CN$300),""),""),"")</f>
      </c>
      <c s="75">
        <f>IF(ISERROR(VLOOKUP(CV120,$AL$8:$AL$15,1,FALSE))=TRUE,IF(AND(ISERROR(FIND("NeighMkt",$CX$102))=FALSE,LEFT($CW$111,10)="ALL OUTLET",$CA120&lt;&gt;"",DJ120&lt;&gt;""),"",IF(AND($CV120&lt;&gt;$CW120,$CW120=CP$110),$DJ120,"")),"")</f>
      </c>
      <c s="76">
        <f>IF(ISERROR(VLOOKUP(CV120,$AL$8:$AL$15,1,FALSE))=TRUE,IF(CP120&lt;&gt;"",IF(CP120&gt;0,RANK(CP120,$CP$111:$CP$300),""),""),"")</f>
      </c>
      <c s="75">
        <f>IF(ISERROR(VLOOKUP(CV120,$AL$8:$AL$15,1,FALSE))=TRUE,IF(AND(ISERROR(FIND("NeighMkt",$CX$102))=FALSE,LEFT($CW$111,10)="ALL OUTLET",$CA120&lt;&gt;"",DJ120&lt;&gt;""),"",IF(AND($CV120&lt;&gt;$CW120,$CW120=CR$110),$DJ120,"")),"")</f>
      </c>
      <c s="76">
        <f>IF(ISERROR(VLOOKUP(CV120,$AL$8:$AL$15,1,FALSE))=TRUE,IF(CR120&lt;&gt;"",IF(CR120&gt;0,RANK(CR120,$CR$111:$CR$300),""),""),"")</f>
      </c>
      <c s="75">
        <f>IF(ISERROR(VLOOKUP(CV120,$AL$8:$AL$15,1,FALSE))=TRUE,IF(AND(ISERROR(FIND("NeighMkt",$CX$102))=FALSE,LEFT($CW$111,10)="ALL OUTLET",$CA120&lt;&gt;"",DJ120&lt;&gt;""),"",IF($Z$4="",IF(AND($CV120&lt;&gt;$CW120,$CW120=CT$110),$DJ120,""),IF(AND($CV120&lt;&gt;$CW120,$CW120&lt;&gt;CN$110,$CW120&lt;&gt;CP$110,$CW120&lt;&gt;CR$110,$CW120&lt;&gt;$CV$111),$DJ120,""))),"")</f>
        <v>44822145.5847273</v>
      </c>
      <c s="76">
        <f>IF(ISERROR(VLOOKUP(CV120,$AL$8:$AL$15,1,FALSE))=TRUE,IF(CT120&lt;&gt;"",IF(CT120&gt;0,RANK(CT120,$CT$111:$CT$300),""),""),"")</f>
        <v>2</v>
      </c>
      <c s="65" t="str">
        <f t="shared" si="2"/>
        <v>Doll Gen / Doll Gen Mkt</v>
      </c>
      <c s="65" t="str">
        <f t="shared" si="3"/>
        <v>Dollar</v>
      </c>
      <c s="72" t="str">
        <f>IF('[1]Leakage Tree Data'!A19&lt;&gt;"",'[1]Leakage Tree Data'!A19,"")</f>
        <v>Total US - Doll Gen / Doll Gen Mkt</v>
      </c>
      <c s="72" t="str">
        <f>IF('[1]Leakage Tree Data'!B19&lt;&gt;"",'[1]Leakage Tree Data'!B19,"")</f>
        <v>Total US - Dollar</v>
      </c>
      <c s="72">
        <f>IF('[1]Leakage Tree Data'!C19&lt;&gt;"",'[1]Leakage Tree Data'!C19,"")</f>
        <v>121171760.292236</v>
      </c>
      <c s="72">
        <f>IF('[1]Leakage Tree Data'!D19&lt;&gt;"",'[1]Leakage Tree Data'!D19,"")</f>
        <v>34359367.4581299</v>
      </c>
      <c s="72">
        <f>IF('[1]Leakage Tree Data'!E19&lt;&gt;"",'[1]Leakage Tree Data'!E19,"")</f>
        <v>28.355920038847</v>
      </c>
      <c s="72">
        <f>IF('[1]Leakage Tree Data'!F19&lt;&gt;"",'[1]Leakage Tree Data'!F19,"")</f>
        <v>86812392.8341064</v>
      </c>
      <c s="72">
        <f>IF('[1]Leakage Tree Data'!G19&lt;&gt;"",'[1]Leakage Tree Data'!G19,"")</f>
        <v>71.644079961153</v>
      </c>
      <c s="72">
        <f>IF('[1]Leakage Tree Data'!H19&lt;&gt;"",'[1]Leakage Tree Data'!H19,"")</f>
        <v>61518209.9918823</v>
      </c>
      <c s="72" t="str">
        <f>IF('[1]Leakage Tree Data'!I19&lt;&gt;"",'[1]Leakage Tree Data'!I19,"")</f>
        <v>Dollar</v>
      </c>
      <c s="72">
        <f>IF('[1]Leakage Tree Data'!J19&lt;&gt;"",'[1]Leakage Tree Data'!J19,"")</f>
        <v>93.3024991728619</v>
      </c>
      <c s="72">
        <f>IF('[1]Leakage Tree Data'!K19&lt;&gt;"",'[1]Leakage Tree Data'!K19,"")</f>
        <v>4120182.62304688</v>
      </c>
      <c s="72">
        <f>IF('[1]Leakage Tree Data'!L19&lt;&gt;"",'[1]Leakage Tree Data'!L19,"")</f>
        <v>11256588.6043549</v>
      </c>
      <c s="72">
        <f>IF('[1]Leakage Tree Data'!M19&lt;&gt;"",'[1]Leakage Tree Data'!M19,"")</f>
        <v>44822145.5847273</v>
      </c>
      <c s="72">
        <f>IF('[1]Leakage Tree Data'!N19&lt;&gt;"",'[1]Leakage Tree Data'!N19,"")</f>
        <v>11256588.6043549</v>
      </c>
      <c s="72">
        <f>IF('[1]Leakage Tree Data'!O19&lt;&gt;"",'[1]Leakage Tree Data'!O19,"")</f>
        <v>31.7018037894759</v>
      </c>
      <c s="72">
        <f>IF('[1]Leakage Tree Data'!P19&lt;&gt;"",'[1]Leakage Tree Data'!P19,"")</f>
        <v>5338875.12607305</v>
      </c>
      <c s="72">
        <f>IF('[1]Leakage Tree Data'!Q19&lt;&gt;"",'[1]Leakage Tree Data'!Q19,"")</f>
      </c>
      <c s="72">
        <f>IF('[1]Leakage Tree Data'!R19&lt;&gt;"",'[1]Leakage Tree Data'!R19,"")</f>
        <v>1017625.85098267</v>
      </c>
      <c s="72">
        <f>IF('[1]Leakage Tree Data'!S19&lt;&gt;"",'[1]Leakage Tree Data'!S19,"")</f>
        <v>353762.027618408</v>
      </c>
      <c s="72">
        <f>IF('[1]Leakage Tree Data'!T19&lt;&gt;"",'[1]Leakage Tree Data'!T19,"")</f>
        <v>0.0542676748680755</v>
      </c>
      <c s="72">
        <f>IF('[1]Leakage Tree Data'!U19&lt;&gt;"",'[1]Leakage Tree Data'!U19,"")</f>
        <v>663863.823364258</v>
      </c>
      <c s="72">
        <f>IF('[1]Leakage Tree Data'!V19&lt;&gt;"",'[1]Leakage Tree Data'!V19,"")</f>
        <v>-0.0542676748680719</v>
      </c>
      <c s="72">
        <f>IF('[1]Leakage Tree Data'!W19&lt;&gt;"",'[1]Leakage Tree Data'!W19,"")</f>
        <v>-1855949.2237854</v>
      </c>
      <c s="72">
        <f>IF('[1]Leakage Tree Data'!X19&lt;&gt;"",'[1]Leakage Tree Data'!X19,"")</f>
      </c>
      <c s="72">
        <f>IF('[1]Leakage Tree Data'!Y19&lt;&gt;"",'[1]Leakage Tree Data'!Y19,"")</f>
        <v>0.0399497607713784</v>
      </c>
      <c s="72">
        <f>IF('[1]Leakage Tree Data'!Z19&lt;&gt;"",'[1]Leakage Tree Data'!Z19,"")</f>
        <v>-149620.039611816</v>
      </c>
      <c s="72">
        <f>IF('[1]Leakage Tree Data'!AA19&lt;&gt;"",'[1]Leakage Tree Data'!AA19,"")</f>
        <v>-1950415.36185837</v>
      </c>
      <c s="72">
        <f>IF('[1]Leakage Tree Data'!AB19&lt;&gt;"",'[1]Leakage Tree Data'!AB19,"")</f>
        <v>-4112114.4050703</v>
      </c>
      <c s="72">
        <f>IF('[1]Leakage Tree Data'!AC19&lt;&gt;"",'[1]Leakage Tree Data'!AC19,"")</f>
        <v>-1950415.36185837</v>
      </c>
      <c s="72">
        <f>IF('[1]Leakage Tree Data'!AD19&lt;&gt;"",'[1]Leakage Tree Data'!AD19,"")</f>
        <v>-1.33633850243688</v>
      </c>
      <c s="72">
        <f>IF('[1]Leakage Tree Data'!AE19&lt;&gt;"",'[1]Leakage Tree Data'!AE19,"")</f>
      </c>
      <c s="73">
        <f t="shared" si="4"/>
      </c>
      <c s="73">
        <f t="shared" si="5"/>
      </c>
      <c s="73">
        <f t="shared" si="6"/>
      </c>
      <c s="73">
        <f t="shared" si="7"/>
      </c>
      <c s="74">
        <f t="shared" si="8"/>
      </c>
      <c s="74">
        <f t="shared" si="9"/>
      </c>
      <c s="69" t="str">
        <f t="shared" si="0"/>
        <v>Total US - Doll Gen / Doll Gen Mkt</v>
      </c>
      <c s="69" t="str">
        <f t="shared" si="1"/>
        <v>Total US - Dollar</v>
      </c>
      <c s="77"/>
    </row>
    <row r="121" spans="1:141" ht="15">
      <c r="A1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121,$AL$8:$AL$15,1,FALSE))=TRUE,IF(AND(CV121=CW121,CV121&lt;&gt;"",DI$111&lt;&gt;"",DK121&lt;&gt;""),IF(CW$101="Y",DK121-IF(ISERROR(VLOOKUP(CV121,$CA$113:$DK$300,37,FALSE))=TRUE,0,IF(VLOOKUP(CV121,$CA$113:$DK$300,37,FALSE)="",0,VLOOKUP(CV121,$CA$113:$DK$300,37,FALSE))),DK121-IF(AND(CW$102="Y",CV121=$CW$111),DI$111,0)),""),"")</f>
      </c>
      <c s="76">
        <f>IF(ISERROR(VLOOKUP(CV121,$AL$8:$AL$15,1,FALSE))=TRUE,IF(CB121&lt;&gt;"",IF(CB121&gt;0,IF(Z$4&lt;&gt;"",MIN(4,RANK(CB121,$CB$111:$CB$300)),RANK(CB121,$CB$111:$CB$300)),""),""),"")</f>
      </c>
      <c s="75">
        <f>IF(ISERROR(VLOOKUP(CV121,$AL$8:$AL$15,1,FALSE))=TRUE,IF(AND(ISERROR(FIND("NeighMkt",$CX$102))=FALSE,LEFT($CW$111,10)="ALL OUTLET",$CA121&lt;&gt;"",DK121&lt;&gt;""),"",IF(AND($CV121&lt;&gt;$CW121,$CW121=CD$110),$DK121,"")),"")</f>
      </c>
      <c s="76">
        <f>IF(ISERROR(VLOOKUP(CV121,$AL$8:$AL$15,1,FALSE))=TRUE,IF(CD121&lt;&gt;"",IF(CD121&gt;0,RANK(CD121,$CD$111:$CD$300),""),""),"")</f>
      </c>
      <c s="75">
        <f>IF(ISERROR(VLOOKUP(CV121,$AL$8:$AL$15,1,FALSE))=TRUE,IF(AND(ISERROR(FIND("NeighMkt",$CX$102))=FALSE,LEFT($CW$111,10)="ALL OUTLET",$CA121&lt;&gt;"",DK121&lt;&gt;""),"",IF(AND($CV121&lt;&gt;$CW121,$CW121=CF$110),$DK121,"")),"")</f>
      </c>
      <c s="76">
        <f>IF(ISERROR(VLOOKUP(CV121,$AL$8:$AL$15,1,FALSE))=TRUE,IF(CF121&lt;&gt;"",IF(CF121&gt;0,RANK(CF121,$CF$111:$CF$300),""),""),"")</f>
      </c>
      <c s="75">
        <f>IF(ISERROR(VLOOKUP(CV121,$AL$8:$AL$15,1,FALSE))=TRUE,IF(AND(ISERROR(FIND("NeighMkt",$CX$102))=FALSE,LEFT($CW$111,10)="ALL OUTLET",$CA121&lt;&gt;"",DK121&lt;&gt;""),"",IF(AND($CV121&lt;&gt;$CW121,$CW121=CH$110),$DK121,"")),"")</f>
      </c>
      <c s="76">
        <f>IF(ISERROR(VLOOKUP(CV121,$AL$8:$AL$15,1,FALSE))=TRUE,IF(CH121&lt;&gt;"",IF(CH121&gt;0,RANK(CH121,$CH$111:$CH$300),""),""),"")</f>
      </c>
      <c s="75">
        <f>IF(ISERROR(VLOOKUP(CV121,$AL$8:$AL$15,1,FALSE))=TRUE,IF(AND(ISERROR(FIND("NeighMkt",$CX$102))=FALSE,LEFT($CW$111,10)="ALL OUTLET",$CA121&lt;&gt;"",DK121&lt;&gt;""),"",IF($Z$4="",IF(AND($CV121&lt;&gt;$CW121,$CW121=CJ$110),$DK121,""),IF(AND($CV121&lt;&gt;$CW121,$CW121&lt;&gt;CD$110,$CW121&lt;&gt;CF$110,$CW121&lt;&gt;CH$110,$CW121&lt;&gt;$CV$111),$DK121,""))),"")</f>
        <v>4997860.17578888</v>
      </c>
      <c s="76">
        <f>IF(ISERROR(VLOOKUP(CV121,$AL$8:$AL$15,1,FALSE))=TRUE,IF(CJ121&lt;&gt;"",IF(CJ121&gt;0,RANK(CJ121,$CJ$111:$CJ$300),""),""),"")</f>
        <v>8</v>
      </c>
      <c s="75">
        <f>IF(ISERROR(VLOOKUP(CV121,$AL$8:$AL$15,1,FALSE))=TRUE,IF(AND(CV121=CW121,CV121&lt;&gt;"",DJ121&lt;&gt;""),IF(AND(ISERROR(FIND("NeighMkt",$CX$102))=FALSE,LEFT($CW$111,10)="ALL OUTLET"),DJ121-IF(ISERROR(VLOOKUP(CV121,$CA$113:$DK$300,36,FALSE))=TRUE,0,IF(VLOOKUP(CV121,$CA$113:$DK$300,36,FALSE)="",0,VLOOKUP(CV121,$CA$113:$DK$300,36,FALSE))),DJ121),""),"")</f>
      </c>
      <c s="76">
        <f>IF(ISERROR(VLOOKUP(CV121,$AL$8:$AL$15,1,FALSE))=TRUE,IF(CL121&lt;&gt;"",IF(CL121&gt;0,IF($Z$4&lt;&gt;"",MIN(4,RANK(CL121,$CL$111:$CL$300)),RANK(CL121,$CL$111:$CL$300)),""),""),"")</f>
      </c>
      <c s="75">
        <f>IF(ISERROR(VLOOKUP(CV121,$AL$8:$AL$15,1,FALSE))=TRUE,IF(AND(ISERROR(FIND("NeighMkt",$CX$102))=FALSE,LEFT($CW$111,10)="ALL OUTLET",$CA121&lt;&gt;"",DJ121&lt;&gt;""),"",IF(AND($CV121&lt;&gt;$CW121,$CW121=CN$110),$DJ121,"")),"")</f>
      </c>
      <c s="76">
        <f>IF(ISERROR(VLOOKUP(CV121,$AL$8:$AL$15,1,FALSE))=TRUE,IF(CN121&lt;&gt;"",IF(CN121&gt;0,RANK(CN121,$CN$111:$CN$300),""),""),"")</f>
      </c>
      <c s="75">
        <f>IF(ISERROR(VLOOKUP(CV121,$AL$8:$AL$15,1,FALSE))=TRUE,IF(AND(ISERROR(FIND("NeighMkt",$CX$102))=FALSE,LEFT($CW$111,10)="ALL OUTLET",$CA121&lt;&gt;"",DJ121&lt;&gt;""),"",IF(AND($CV121&lt;&gt;$CW121,$CW121=CP$110),$DJ121,"")),"")</f>
      </c>
      <c s="76">
        <f>IF(ISERROR(VLOOKUP(CV121,$AL$8:$AL$15,1,FALSE))=TRUE,IF(CP121&lt;&gt;"",IF(CP121&gt;0,RANK(CP121,$CP$111:$CP$300),""),""),"")</f>
      </c>
      <c s="75">
        <f>IF(ISERROR(VLOOKUP(CV121,$AL$8:$AL$15,1,FALSE))=TRUE,IF(AND(ISERROR(FIND("NeighMkt",$CX$102))=FALSE,LEFT($CW$111,10)="ALL OUTLET",$CA121&lt;&gt;"",DJ121&lt;&gt;""),"",IF(AND($CV121&lt;&gt;$CW121,$CW121=CR$110),$DJ121,"")),"")</f>
      </c>
      <c s="76">
        <f>IF(ISERROR(VLOOKUP(CV121,$AL$8:$AL$15,1,FALSE))=TRUE,IF(CR121&lt;&gt;"",IF(CR121&gt;0,RANK(CR121,$CR$111:$CR$300),""),""),"")</f>
      </c>
      <c s="75">
        <f>IF(ISERROR(VLOOKUP(CV121,$AL$8:$AL$15,1,FALSE))=TRUE,IF(AND(ISERROR(FIND("NeighMkt",$CX$102))=FALSE,LEFT($CW$111,10)="ALL OUTLET",$CA121&lt;&gt;"",DJ121&lt;&gt;""),"",IF($Z$4="",IF(AND($CV121&lt;&gt;$CW121,$CW121=CT$110),$DJ121,""),IF(AND($CV121&lt;&gt;$CW121,$CW121&lt;&gt;CN$110,$CW121&lt;&gt;CP$110,$CW121&lt;&gt;CR$110,$CW121&lt;&gt;$CV$111),$DJ121,""))),"")</f>
        <v>26015682.6169662</v>
      </c>
      <c s="76">
        <f>IF(ISERROR(VLOOKUP(CV121,$AL$8:$AL$15,1,FALSE))=TRUE,IF(CT121&lt;&gt;"",IF(CT121&gt;0,RANK(CT121,$CT$111:$CT$300),""),""),"")</f>
        <v>5</v>
      </c>
      <c s="65" t="str">
        <f t="shared" si="2"/>
        <v>Dollar Tree</v>
      </c>
      <c s="65" t="str">
        <f t="shared" si="3"/>
        <v>Dollar</v>
      </c>
      <c s="72" t="str">
        <f>IF('[1]Leakage Tree Data'!A20&lt;&gt;"",'[1]Leakage Tree Data'!A20,"")</f>
        <v>Total US - Dollar Tree</v>
      </c>
      <c s="72" t="str">
        <f>IF('[1]Leakage Tree Data'!B20&lt;&gt;"",'[1]Leakage Tree Data'!B20,"")</f>
        <v>Total US - Dollar</v>
      </c>
      <c s="72">
        <f>IF('[1]Leakage Tree Data'!C20&lt;&gt;"",'[1]Leakage Tree Data'!C20,"")</f>
        <v>121171760.292236</v>
      </c>
      <c s="72">
        <f>IF('[1]Leakage Tree Data'!D20&lt;&gt;"",'[1]Leakage Tree Data'!D20,"")</f>
        <v>55606875.5343628</v>
      </c>
      <c s="72">
        <f>IF('[1]Leakage Tree Data'!E20&lt;&gt;"",'[1]Leakage Tree Data'!E20,"")</f>
        <v>45.89095297473</v>
      </c>
      <c s="72">
        <f>IF('[1]Leakage Tree Data'!F20&lt;&gt;"",'[1]Leakage Tree Data'!F20,"")</f>
        <v>65564884.7578735</v>
      </c>
      <c s="72">
        <f>IF('[1]Leakage Tree Data'!G20&lt;&gt;"",'[1]Leakage Tree Data'!G20,"")</f>
        <v>54.10904702527</v>
      </c>
      <c s="72">
        <f>IF('[1]Leakage Tree Data'!H20&lt;&gt;"",'[1]Leakage Tree Data'!H20,"")</f>
        <v>61518209.9918823</v>
      </c>
      <c s="72" t="str">
        <f>IF('[1]Leakage Tree Data'!I20&lt;&gt;"",'[1]Leakage Tree Data'!I20,"")</f>
        <v>Dollar</v>
      </c>
      <c s="72">
        <f>IF('[1]Leakage Tree Data'!J20&lt;&gt;"",'[1]Leakage Tree Data'!J20,"")</f>
        <v>93.8526057956329</v>
      </c>
      <c s="72">
        <f>IF('[1]Leakage Tree Data'!K20&lt;&gt;"",'[1]Leakage Tree Data'!K20,"")</f>
        <v>3781766.87567139</v>
      </c>
      <c s="72">
        <f>IF('[1]Leakage Tree Data'!L20&lt;&gt;"",'[1]Leakage Tree Data'!L20,"")</f>
        <v>4997860.17578888</v>
      </c>
      <c s="72">
        <f>IF('[1]Leakage Tree Data'!M20&lt;&gt;"",'[1]Leakage Tree Data'!M20,"")</f>
        <v>26015682.6169662</v>
      </c>
      <c s="72">
        <f>IF('[1]Leakage Tree Data'!N20&lt;&gt;"",'[1]Leakage Tree Data'!N20,"")</f>
        <v>4997860.17578888</v>
      </c>
      <c s="72">
        <f>IF('[1]Leakage Tree Data'!O20&lt;&gt;"",'[1]Leakage Tree Data'!O20,"")</f>
        <v>13.9915811095724</v>
      </c>
      <c s="72">
        <f>IF('[1]Leakage Tree Data'!P20&lt;&gt;"",'[1]Leakage Tree Data'!P20,"")</f>
        <v>2168831.56614388</v>
      </c>
      <c s="72">
        <f>IF('[1]Leakage Tree Data'!Q20&lt;&gt;"",'[1]Leakage Tree Data'!Q20,"")</f>
      </c>
      <c s="72">
        <f>IF('[1]Leakage Tree Data'!R20&lt;&gt;"",'[1]Leakage Tree Data'!R20,"")</f>
        <v>1017625.85098267</v>
      </c>
      <c s="72">
        <f>IF('[1]Leakage Tree Data'!S20&lt;&gt;"",'[1]Leakage Tree Data'!S20,"")</f>
        <v>1635122.82543945</v>
      </c>
      <c s="72">
        <f>IF('[1]Leakage Tree Data'!T20&lt;&gt;"",'[1]Leakage Tree Data'!T20,"")</f>
        <v>0.972188456217815</v>
      </c>
      <c s="72">
        <f>IF('[1]Leakage Tree Data'!U20&lt;&gt;"",'[1]Leakage Tree Data'!U20,"")</f>
        <v>-617496.974456787</v>
      </c>
      <c s="72">
        <f>IF('[1]Leakage Tree Data'!V20&lt;&gt;"",'[1]Leakage Tree Data'!V20,"")</f>
        <v>-0.972188456217815</v>
      </c>
      <c s="72">
        <f>IF('[1]Leakage Tree Data'!W20&lt;&gt;"",'[1]Leakage Tree Data'!W20,"")</f>
        <v>-1855949.2237854</v>
      </c>
      <c s="72">
        <f>IF('[1]Leakage Tree Data'!X20&lt;&gt;"",'[1]Leakage Tree Data'!X20,"")</f>
      </c>
      <c s="72">
        <f>IF('[1]Leakage Tree Data'!Y20&lt;&gt;"",'[1]Leakage Tree Data'!Y20,"")</f>
        <v>-0.488155537513876</v>
      </c>
      <c s="72">
        <f>IF('[1]Leakage Tree Data'!Z20&lt;&gt;"",'[1]Leakage Tree Data'!Z20,"")</f>
        <v>195271.952545166</v>
      </c>
      <c s="72">
        <f>IF('[1]Leakage Tree Data'!AA20&lt;&gt;"",'[1]Leakage Tree Data'!AA20,"")</f>
        <v>741427.453025818</v>
      </c>
      <c s="72">
        <f>IF('[1]Leakage Tree Data'!AB20&lt;&gt;"",'[1]Leakage Tree Data'!AB20,"")</f>
        <v>-4095770.45410919</v>
      </c>
      <c s="72">
        <f>IF('[1]Leakage Tree Data'!AC20&lt;&gt;"",'[1]Leakage Tree Data'!AC20,"")</f>
        <v>741427.453025818</v>
      </c>
      <c s="72">
        <f>IF('[1]Leakage Tree Data'!AD20&lt;&gt;"",'[1]Leakage Tree Data'!AD20,"")</f>
        <v>0.460644864713542</v>
      </c>
      <c s="72">
        <f>IF('[1]Leakage Tree Data'!AE20&lt;&gt;"",'[1]Leakage Tree Data'!AE20,"")</f>
      </c>
      <c s="73">
        <f t="shared" si="4"/>
      </c>
      <c s="73">
        <f t="shared" si="5"/>
      </c>
      <c s="73">
        <f t="shared" si="6"/>
      </c>
      <c s="73">
        <f t="shared" si="7"/>
      </c>
      <c s="74">
        <f t="shared" si="8"/>
      </c>
      <c s="74">
        <f t="shared" si="9"/>
      </c>
      <c s="69" t="str">
        <f t="shared" si="0"/>
        <v>Total US - Dollar Tree</v>
      </c>
      <c s="69" t="str">
        <f t="shared" si="1"/>
        <v>Total US - Dollar</v>
      </c>
      <c s="77"/>
    </row>
    <row r="122" spans="1:141" ht="15">
      <c r="A1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122,$AL$8:$AL$15,1,FALSE))=TRUE,IF(AND(CV122=CW122,CV122&lt;&gt;"",DI$111&lt;&gt;"",DK122&lt;&gt;""),IF(CW$101="Y",DK122-IF(ISERROR(VLOOKUP(CV122,$CA$113:$DK$300,37,FALSE))=TRUE,0,IF(VLOOKUP(CV122,$CA$113:$DK$300,37,FALSE)="",0,VLOOKUP(CV122,$CA$113:$DK$300,37,FALSE))),DK122-IF(AND(CW$102="Y",CV122=$CW$111),DI$111,0)),""),"")</f>
      </c>
      <c s="76">
        <f>IF(ISERROR(VLOOKUP(CV122,$AL$8:$AL$15,1,FALSE))=TRUE,IF(CB122&lt;&gt;"",IF(CB122&gt;0,IF(Z$4&lt;&gt;"",MIN(4,RANK(CB122,$CB$111:$CB$300)),RANK(CB122,$CB$111:$CB$300)),""),""),"")</f>
      </c>
      <c s="75">
        <f>IF(ISERROR(VLOOKUP(CV122,$AL$8:$AL$15,1,FALSE))=TRUE,IF(AND(ISERROR(FIND("NeighMkt",$CX$102))=FALSE,LEFT($CW$111,10)="ALL OUTLET",$CA122&lt;&gt;"",DK122&lt;&gt;""),"",IF(AND($CV122&lt;&gt;$CW122,$CW122=CD$110),$DK122,"")),"")</f>
      </c>
      <c s="76">
        <f>IF(ISERROR(VLOOKUP(CV122,$AL$8:$AL$15,1,FALSE))=TRUE,IF(CD122&lt;&gt;"",IF(CD122&gt;0,RANK(CD122,$CD$111:$CD$300),""),""),"")</f>
      </c>
      <c s="75">
        <f>IF(ISERROR(VLOOKUP(CV122,$AL$8:$AL$15,1,FALSE))=TRUE,IF(AND(ISERROR(FIND("NeighMkt",$CX$102))=FALSE,LEFT($CW$111,10)="ALL OUTLET",$CA122&lt;&gt;"",DK122&lt;&gt;""),"",IF(AND($CV122&lt;&gt;$CW122,$CW122=CF$110),$DK122,"")),"")</f>
      </c>
      <c s="76">
        <f>IF(ISERROR(VLOOKUP(CV122,$AL$8:$AL$15,1,FALSE))=TRUE,IF(CF122&lt;&gt;"",IF(CF122&gt;0,RANK(CF122,$CF$111:$CF$300),""),""),"")</f>
      </c>
      <c s="75">
        <f>IF(ISERROR(VLOOKUP(CV122,$AL$8:$AL$15,1,FALSE))=TRUE,IF(AND(ISERROR(FIND("NeighMkt",$CX$102))=FALSE,LEFT($CW$111,10)="ALL OUTLET",$CA122&lt;&gt;"",DK122&lt;&gt;""),"",IF(AND($CV122&lt;&gt;$CW122,$CW122=CH$110),$DK122,"")),"")</f>
      </c>
      <c s="76">
        <f>IF(ISERROR(VLOOKUP(CV122,$AL$8:$AL$15,1,FALSE))=TRUE,IF(CH122&lt;&gt;"",IF(CH122&gt;0,RANK(CH122,$CH$111:$CH$300),""),""),"")</f>
      </c>
      <c s="75">
        <f>IF(ISERROR(VLOOKUP(CV122,$AL$8:$AL$15,1,FALSE))=TRUE,IF(AND(ISERROR(FIND("NeighMkt",$CX$102))=FALSE,LEFT($CW$111,10)="ALL OUTLET",$CA122&lt;&gt;"",DK122&lt;&gt;""),"",IF($Z$4="",IF(AND($CV122&lt;&gt;$CW122,$CW122=CJ$110),$DK122,""),IF(AND($CV122&lt;&gt;$CW122,$CW122&lt;&gt;CD$110,$CW122&lt;&gt;CF$110,$CW122&lt;&gt;CH$110,$CW122&lt;&gt;$CV$111),$DK122,""))),"")</f>
        <v>7555923.94790649</v>
      </c>
      <c s="76">
        <f>IF(ISERROR(VLOOKUP(CV122,$AL$8:$AL$15,1,FALSE))=TRUE,IF(CJ122&lt;&gt;"",IF(CJ122&gt;0,RANK(CJ122,$CJ$111:$CJ$300),""),""),"")</f>
        <v>4</v>
      </c>
      <c s="75">
        <f>IF(ISERROR(VLOOKUP(CV122,$AL$8:$AL$15,1,FALSE))=TRUE,IF(AND(CV122=CW122,CV122&lt;&gt;"",DJ122&lt;&gt;""),IF(AND(ISERROR(FIND("NeighMkt",$CX$102))=FALSE,LEFT($CW$111,10)="ALL OUTLET"),DJ122-IF(ISERROR(VLOOKUP(CV122,$CA$113:$DK$300,36,FALSE))=TRUE,0,IF(VLOOKUP(CV122,$CA$113:$DK$300,36,FALSE)="",0,VLOOKUP(CV122,$CA$113:$DK$300,36,FALSE))),DJ122),""),"")</f>
      </c>
      <c s="76">
        <f>IF(ISERROR(VLOOKUP(CV122,$AL$8:$AL$15,1,FALSE))=TRUE,IF(CL122&lt;&gt;"",IF(CL122&gt;0,IF($Z$4&lt;&gt;"",MIN(4,RANK(CL122,$CL$111:$CL$300)),RANK(CL122,$CL$111:$CL$300)),""),""),"")</f>
      </c>
      <c s="75">
        <f>IF(ISERROR(VLOOKUP(CV122,$AL$8:$AL$15,1,FALSE))=TRUE,IF(AND(ISERROR(FIND("NeighMkt",$CX$102))=FALSE,LEFT($CW$111,10)="ALL OUTLET",$CA122&lt;&gt;"",DJ122&lt;&gt;""),"",IF(AND($CV122&lt;&gt;$CW122,$CW122=CN$110),$DJ122,"")),"")</f>
      </c>
      <c s="76">
        <f>IF(ISERROR(VLOOKUP(CV122,$AL$8:$AL$15,1,FALSE))=TRUE,IF(CN122&lt;&gt;"",IF(CN122&gt;0,RANK(CN122,$CN$111:$CN$300),""),""),"")</f>
      </c>
      <c s="75">
        <f>IF(ISERROR(VLOOKUP(CV122,$AL$8:$AL$15,1,FALSE))=TRUE,IF(AND(ISERROR(FIND("NeighMkt",$CX$102))=FALSE,LEFT($CW$111,10)="ALL OUTLET",$CA122&lt;&gt;"",DJ122&lt;&gt;""),"",IF(AND($CV122&lt;&gt;$CW122,$CW122=CP$110),$DJ122,"")),"")</f>
      </c>
      <c s="76">
        <f>IF(ISERROR(VLOOKUP(CV122,$AL$8:$AL$15,1,FALSE))=TRUE,IF(CP122&lt;&gt;"",IF(CP122&gt;0,RANK(CP122,$CP$111:$CP$300),""),""),"")</f>
      </c>
      <c s="75">
        <f>IF(ISERROR(VLOOKUP(CV122,$AL$8:$AL$15,1,FALSE))=TRUE,IF(AND(ISERROR(FIND("NeighMkt",$CX$102))=FALSE,LEFT($CW$111,10)="ALL OUTLET",$CA122&lt;&gt;"",DJ122&lt;&gt;""),"",IF(AND($CV122&lt;&gt;$CW122,$CW122=CR$110),$DJ122,"")),"")</f>
      </c>
      <c s="76">
        <f>IF(ISERROR(VLOOKUP(CV122,$AL$8:$AL$15,1,FALSE))=TRUE,IF(CR122&lt;&gt;"",IF(CR122&gt;0,RANK(CR122,$CR$111:$CR$300),""),""),"")</f>
      </c>
      <c s="75">
        <f>IF(ISERROR(VLOOKUP(CV122,$AL$8:$AL$15,1,FALSE))=TRUE,IF(AND(ISERROR(FIND("NeighMkt",$CX$102))=FALSE,LEFT($CW$111,10)="ALL OUTLET",$CA122&lt;&gt;"",DJ122&lt;&gt;""),"",IF($Z$4="",IF(AND($CV122&lt;&gt;$CW122,$CW122=CT$110),$DJ122,""),IF(AND($CV122&lt;&gt;$CW122,$CW122&lt;&gt;CN$110,$CW122&lt;&gt;CP$110,$CW122&lt;&gt;CR$110,$CW122&lt;&gt;$CV$111),$DJ122,""))),"")</f>
        <v>32826501.4282379</v>
      </c>
      <c s="76">
        <f>IF(ISERROR(VLOOKUP(CV122,$AL$8:$AL$15,1,FALSE))=TRUE,IF(CT122&lt;&gt;"",IF(CT122&gt;0,RANK(CT122,$CT$111:$CT$300),""),""),"")</f>
        <v>4</v>
      </c>
      <c s="65" t="str">
        <f t="shared" si="2"/>
        <v>Family Dollar</v>
      </c>
      <c s="65" t="str">
        <f t="shared" si="3"/>
        <v>Dollar</v>
      </c>
      <c s="72" t="str">
        <f>IF('[1]Leakage Tree Data'!A21&lt;&gt;"",'[1]Leakage Tree Data'!A21,"")</f>
        <v>Total US - Family Dollar</v>
      </c>
      <c s="72" t="str">
        <f>IF('[1]Leakage Tree Data'!B21&lt;&gt;"",'[1]Leakage Tree Data'!B21,"")</f>
        <v>Total US - Dollar</v>
      </c>
      <c s="72">
        <f>IF('[1]Leakage Tree Data'!C21&lt;&gt;"",'[1]Leakage Tree Data'!C21,"")</f>
        <v>121171760.292236</v>
      </c>
      <c s="72">
        <f>IF('[1]Leakage Tree Data'!D21&lt;&gt;"",'[1]Leakage Tree Data'!D21,"")</f>
        <v>21507291.3281555</v>
      </c>
      <c s="72">
        <f>IF('[1]Leakage Tree Data'!E21&lt;&gt;"",'[1]Leakage Tree Data'!E21,"")</f>
        <v>17.7494255066405</v>
      </c>
      <c s="72">
        <f>IF('[1]Leakage Tree Data'!F21&lt;&gt;"",'[1]Leakage Tree Data'!F21,"")</f>
        <v>99664468.9640808</v>
      </c>
      <c s="72">
        <f>IF('[1]Leakage Tree Data'!G21&lt;&gt;"",'[1]Leakage Tree Data'!G21,"")</f>
        <v>82.2505744933595</v>
      </c>
      <c s="72">
        <f>IF('[1]Leakage Tree Data'!H21&lt;&gt;"",'[1]Leakage Tree Data'!H21,"")</f>
        <v>61518209.9918823</v>
      </c>
      <c s="72" t="str">
        <f>IF('[1]Leakage Tree Data'!I21&lt;&gt;"",'[1]Leakage Tree Data'!I21,"")</f>
        <v>Dollar</v>
      </c>
      <c s="72">
        <f>IF('[1]Leakage Tree Data'!J21&lt;&gt;"",'[1]Leakage Tree Data'!J21,"")</f>
        <v>95.6082771162153</v>
      </c>
      <c s="72">
        <f>IF('[1]Leakage Tree Data'!K21&lt;&gt;"",'[1]Leakage Tree Data'!K21,"")</f>
        <v>2701709.3059082</v>
      </c>
      <c s="72">
        <f>IF('[1]Leakage Tree Data'!L21&lt;&gt;"",'[1]Leakage Tree Data'!L21,"")</f>
        <v>7555923.94790649</v>
      </c>
      <c s="72">
        <f>IF('[1]Leakage Tree Data'!M21&lt;&gt;"",'[1]Leakage Tree Data'!M21,"")</f>
        <v>32826501.4282379</v>
      </c>
      <c s="72">
        <f>IF('[1]Leakage Tree Data'!N21&lt;&gt;"",'[1]Leakage Tree Data'!N21,"")</f>
        <v>7555923.94790649</v>
      </c>
      <c s="72">
        <f>IF('[1]Leakage Tree Data'!O21&lt;&gt;"",'[1]Leakage Tree Data'!O21,"")</f>
        <v>29.7851277683145</v>
      </c>
      <c s="72">
        <f>IF('[1]Leakage Tree Data'!P21&lt;&gt;"",'[1]Leakage Tree Data'!P21,"")</f>
        <v>3032496.80981623</v>
      </c>
      <c s="72">
        <f>IF('[1]Leakage Tree Data'!Q21&lt;&gt;"",'[1]Leakage Tree Data'!Q21,"")</f>
      </c>
      <c s="72">
        <f>IF('[1]Leakage Tree Data'!R21&lt;&gt;"",'[1]Leakage Tree Data'!R21,"")</f>
        <v>1017625.85098267</v>
      </c>
      <c s="72">
        <f>IF('[1]Leakage Tree Data'!S21&lt;&gt;"",'[1]Leakage Tree Data'!S21,"")</f>
        <v>-1782013.96429443</v>
      </c>
      <c s="72">
        <f>IF('[1]Leakage Tree Data'!T21&lt;&gt;"",'[1]Leakage Tree Data'!T21,"")</f>
        <v>-1.63343252046853</v>
      </c>
      <c s="72">
        <f>IF('[1]Leakage Tree Data'!U21&lt;&gt;"",'[1]Leakage Tree Data'!U21,"")</f>
        <v>2799639.8152771</v>
      </c>
      <c s="72">
        <f>IF('[1]Leakage Tree Data'!V21&lt;&gt;"",'[1]Leakage Tree Data'!V21,"")</f>
        <v>1.63343252046853</v>
      </c>
      <c s="72">
        <f>IF('[1]Leakage Tree Data'!W21&lt;&gt;"",'[1]Leakage Tree Data'!W21,"")</f>
        <v>-1855949.2237854</v>
      </c>
      <c s="72">
        <f>IF('[1]Leakage Tree Data'!X21&lt;&gt;"",'[1]Leakage Tree Data'!X21,"")</f>
      </c>
      <c s="72">
        <f>IF('[1]Leakage Tree Data'!Y21&lt;&gt;"",'[1]Leakage Tree Data'!Y21,"")</f>
        <v>-0.0423312521209738</v>
      </c>
      <c s="72">
        <f>IF('[1]Leakage Tree Data'!Z21&lt;&gt;"",'[1]Leakage Tree Data'!Z21,"")</f>
        <v>-54681.0716552734</v>
      </c>
      <c s="72">
        <f>IF('[1]Leakage Tree Data'!AA21&lt;&gt;"",'[1]Leakage Tree Data'!AA21,"")</f>
        <v>-1194081.80111694</v>
      </c>
      <c s="72">
        <f>IF('[1]Leakage Tree Data'!AB21&lt;&gt;"",'[1]Leakage Tree Data'!AB21,"")</f>
        <v>728515.619537354</v>
      </c>
      <c s="72">
        <f>IF('[1]Leakage Tree Data'!AC21&lt;&gt;"",'[1]Leakage Tree Data'!AC21,"")</f>
        <v>-1194081.80111694</v>
      </c>
      <c s="72">
        <f>IF('[1]Leakage Tree Data'!AD21&lt;&gt;"",'[1]Leakage Tree Data'!AD21,"")</f>
        <v>1.47982082920601</v>
      </c>
      <c s="72">
        <f>IF('[1]Leakage Tree Data'!AE21&lt;&gt;"",'[1]Leakage Tree Data'!AE21,"")</f>
      </c>
      <c s="73">
        <f t="shared" si="4"/>
      </c>
      <c s="73">
        <f t="shared" si="5"/>
      </c>
      <c s="73">
        <f t="shared" si="6"/>
      </c>
      <c s="73">
        <f t="shared" si="7"/>
      </c>
      <c s="74">
        <f t="shared" si="8"/>
      </c>
      <c s="74">
        <f t="shared" si="9"/>
      </c>
      <c s="69" t="str">
        <f t="shared" si="0"/>
        <v>Total US - Family Dollar</v>
      </c>
      <c s="69" t="str">
        <f t="shared" si="1"/>
        <v>Total US - Dollar</v>
      </c>
      <c s="77"/>
    </row>
    <row r="123" spans="1:141" ht="15">
      <c r="A1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123,$AL$8:$AL$15,1,FALSE))=TRUE,IF(AND(CV123=CW123,CV123&lt;&gt;"",DI$111&lt;&gt;"",DK123&lt;&gt;""),IF(CW$101="Y",DK123-IF(ISERROR(VLOOKUP(CV123,$CA$113:$DK$300,37,FALSE))=TRUE,0,IF(VLOOKUP(CV123,$CA$113:$DK$300,37,FALSE)="",0,VLOOKUP(CV123,$CA$113:$DK$300,37,FALSE))),DK123-IF(AND(CW$102="Y",CV123=$CW$111),DI$111,0)),""),"")</f>
      </c>
      <c s="76">
        <f>IF(ISERROR(VLOOKUP(CV123,$AL$8:$AL$15,1,FALSE))=TRUE,IF(CB123&lt;&gt;"",IF(CB123&gt;0,IF(Z$4&lt;&gt;"",MIN(4,RANK(CB123,$CB$111:$CB$300)),RANK(CB123,$CB$111:$CB$300)),""),""),"")</f>
      </c>
      <c s="75">
        <f>IF(ISERROR(VLOOKUP(CV123,$AL$8:$AL$15,1,FALSE))=TRUE,IF(AND(ISERROR(FIND("NeighMkt",$CX$102))=FALSE,LEFT($CW$111,10)="ALL OUTLET",$CA123&lt;&gt;"",DK123&lt;&gt;""),"",IF(AND($CV123&lt;&gt;$CW123,$CW123=CD$110),$DK123,"")),"")</f>
      </c>
      <c s="76">
        <f>IF(ISERROR(VLOOKUP(CV123,$AL$8:$AL$15,1,FALSE))=TRUE,IF(CD123&lt;&gt;"",IF(CD123&gt;0,RANK(CD123,$CD$111:$CD$300),""),""),"")</f>
      </c>
      <c s="75">
        <f>IF(ISERROR(VLOOKUP(CV123,$AL$8:$AL$15,1,FALSE))=TRUE,IF(AND(ISERROR(FIND("NeighMkt",$CX$102))=FALSE,LEFT($CW$111,10)="ALL OUTLET",$CA123&lt;&gt;"",DK123&lt;&gt;""),"",IF(AND($CV123&lt;&gt;$CW123,$CW123=CF$110),$DK123,"")),"")</f>
      </c>
      <c s="76">
        <f>IF(ISERROR(VLOOKUP(CV123,$AL$8:$AL$15,1,FALSE))=TRUE,IF(CF123&lt;&gt;"",IF(CF123&gt;0,RANK(CF123,$CF$111:$CF$300),""),""),"")</f>
      </c>
      <c s="75">
        <f>IF(ISERROR(VLOOKUP(CV123,$AL$8:$AL$15,1,FALSE))=TRUE,IF(AND(ISERROR(FIND("NeighMkt",$CX$102))=FALSE,LEFT($CW$111,10)="ALL OUTLET",$CA123&lt;&gt;"",DK123&lt;&gt;""),"",IF(AND($CV123&lt;&gt;$CW123,$CW123=CH$110),$DK123,"")),"")</f>
      </c>
      <c s="76">
        <f>IF(ISERROR(VLOOKUP(CV123,$AL$8:$AL$15,1,FALSE))=TRUE,IF(CH123&lt;&gt;"",IF(CH123&gt;0,RANK(CH123,$CH$111:$CH$300),""),""),"")</f>
      </c>
      <c s="75">
        <f>IF(ISERROR(VLOOKUP(CV123,$AL$8:$AL$15,1,FALSE))=TRUE,IF(AND(ISERROR(FIND("NeighMkt",$CX$102))=FALSE,LEFT($CW$111,10)="ALL OUTLET",$CA123&lt;&gt;"",DK123&lt;&gt;""),"",IF($Z$4="",IF(AND($CV123&lt;&gt;$CW123,$CW123=CJ$110),$DK123,""),IF(AND($CV123&lt;&gt;$CW123,$CW123&lt;&gt;CD$110,$CW123&lt;&gt;CF$110,$CW123&lt;&gt;CH$110,$CW123&lt;&gt;$CV$111),$DK123,""))),"")</f>
      </c>
      <c s="76">
        <f>IF(ISERROR(VLOOKUP(CV123,$AL$8:$AL$15,1,FALSE))=TRUE,IF(CJ123&lt;&gt;"",IF(CJ123&gt;0,RANK(CJ123,$CJ$111:$CJ$300),""),""),"")</f>
      </c>
      <c s="75">
        <f>IF(ISERROR(VLOOKUP(CV123,$AL$8:$AL$15,1,FALSE))=TRUE,IF(AND(CV123=CW123,CV123&lt;&gt;"",DJ123&lt;&gt;""),IF(AND(ISERROR(FIND("NeighMkt",$CX$102))=FALSE,LEFT($CW$111,10)="ALL OUTLET"),DJ123-IF(ISERROR(VLOOKUP(CV123,$CA$113:$DK$300,36,FALSE))=TRUE,0,IF(VLOOKUP(CV123,$CA$113:$DK$300,36,FALSE)="",0,VLOOKUP(CV123,$CA$113:$DK$300,36,FALSE))),DJ123),""),"")</f>
      </c>
      <c s="76">
        <f>IF(ISERROR(VLOOKUP(CV123,$AL$8:$AL$15,1,FALSE))=TRUE,IF(CL123&lt;&gt;"",IF(CL123&gt;0,IF($Z$4&lt;&gt;"",MIN(4,RANK(CL123,$CL$111:$CL$300)),RANK(CL123,$CL$111:$CL$300)),""),""),"")</f>
      </c>
      <c s="75">
        <f>IF(ISERROR(VLOOKUP(CV123,$AL$8:$AL$15,1,FALSE))=TRUE,IF(AND(ISERROR(FIND("NeighMkt",$CX$102))=FALSE,LEFT($CW$111,10)="ALL OUTLET",$CA123&lt;&gt;"",DJ123&lt;&gt;""),"",IF(AND($CV123&lt;&gt;$CW123,$CW123=CN$110),$DJ123,"")),"")</f>
      </c>
      <c s="76">
        <f>IF(ISERROR(VLOOKUP(CV123,$AL$8:$AL$15,1,FALSE))=TRUE,IF(CN123&lt;&gt;"",IF(CN123&gt;0,RANK(CN123,$CN$111:$CN$300),""),""),"")</f>
      </c>
      <c s="75">
        <f>IF(ISERROR(VLOOKUP(CV123,$AL$8:$AL$15,1,FALSE))=TRUE,IF(AND(ISERROR(FIND("NeighMkt",$CX$102))=FALSE,LEFT($CW$111,10)="ALL OUTLET",$CA123&lt;&gt;"",DJ123&lt;&gt;""),"",IF(AND($CV123&lt;&gt;$CW123,$CW123=CP$110),$DJ123,"")),"")</f>
      </c>
      <c s="76">
        <f>IF(ISERROR(VLOOKUP(CV123,$AL$8:$AL$15,1,FALSE))=TRUE,IF(CP123&lt;&gt;"",IF(CP123&gt;0,RANK(CP123,$CP$111:$CP$300),""),""),"")</f>
      </c>
      <c s="75">
        <f>IF(ISERROR(VLOOKUP(CV123,$AL$8:$AL$15,1,FALSE))=TRUE,IF(AND(ISERROR(FIND("NeighMkt",$CX$102))=FALSE,LEFT($CW$111,10)="ALL OUTLET",$CA123&lt;&gt;"",DJ123&lt;&gt;""),"",IF(AND($CV123&lt;&gt;$CW123,$CW123=CR$110),$DJ123,"")),"")</f>
      </c>
      <c s="76">
        <f>IF(ISERROR(VLOOKUP(CV123,$AL$8:$AL$15,1,FALSE))=TRUE,IF(CR123&lt;&gt;"",IF(CR123&gt;0,RANK(CR123,$CR$111:$CR$300),""),""),"")</f>
      </c>
      <c s="75">
        <f>IF(ISERROR(VLOOKUP(CV123,$AL$8:$AL$15,1,FALSE))=TRUE,IF(AND(ISERROR(FIND("NeighMkt",$CX$102))=FALSE,LEFT($CW$111,10)="ALL OUTLET",$CA123&lt;&gt;"",DJ123&lt;&gt;""),"",IF($Z$4="",IF(AND($CV123&lt;&gt;$CW123,$CW123=CT$110),$DJ123,""),IF(AND($CV123&lt;&gt;$CW123,$CW123&lt;&gt;CN$110,$CW123&lt;&gt;CP$110,$CW123&lt;&gt;CR$110,$CW123&lt;&gt;$CV$111),$DJ123,""))),"")</f>
      </c>
      <c s="76">
        <f>IF(ISERROR(VLOOKUP(CV123,$AL$8:$AL$15,1,FALSE))=TRUE,IF(CT123&lt;&gt;"",IF(CT123&gt;0,RANK(CT123,$CT$111:$CT$300),""),""),"")</f>
      </c>
      <c s="65" t="str">
        <f t="shared" si="2"/>
        <v>Five Below</v>
      </c>
      <c s="65" t="str">
        <f t="shared" si="3"/>
        <v>Dollar</v>
      </c>
      <c s="72" t="str">
        <f>IF('[1]Leakage Tree Data'!A22&lt;&gt;"",'[1]Leakage Tree Data'!A22,"")</f>
        <v>Total US - Five Below</v>
      </c>
      <c s="72" t="str">
        <f>IF('[1]Leakage Tree Data'!B22&lt;&gt;"",'[1]Leakage Tree Data'!B22,"")</f>
        <v>Total US - Dollar</v>
      </c>
      <c s="72">
        <f>IF('[1]Leakage Tree Data'!C22&lt;&gt;"",'[1]Leakage Tree Data'!C22,"")</f>
        <v>121171760.292236</v>
      </c>
      <c s="72">
        <f>IF('[1]Leakage Tree Data'!D22&lt;&gt;"",'[1]Leakage Tree Data'!D22,"")</f>
        <v>6676053.25598145</v>
      </c>
      <c s="72">
        <f>IF('[1]Leakage Tree Data'!E22&lt;&gt;"",'[1]Leakage Tree Data'!E22,"")</f>
        <v>5.50957850235109</v>
      </c>
      <c s="72">
        <f>IF('[1]Leakage Tree Data'!F22&lt;&gt;"",'[1]Leakage Tree Data'!F22,"")</f>
        <v>114495707.036255</v>
      </c>
      <c s="72">
        <f>IF('[1]Leakage Tree Data'!G22&lt;&gt;"",'[1]Leakage Tree Data'!G22,"")</f>
        <v>94.4904214976489</v>
      </c>
      <c s="72">
        <f>IF('[1]Leakage Tree Data'!H22&lt;&gt;"",'[1]Leakage Tree Data'!H22,"")</f>
        <v>61518209.9918823</v>
      </c>
      <c s="72" t="str">
        <f>IF('[1]Leakage Tree Data'!I22&lt;&gt;"",'[1]Leakage Tree Data'!I22,"")</f>
        <v>Dollar</v>
      </c>
      <c s="72">
        <f>IF('[1]Leakage Tree Data'!J22&lt;&gt;"",'[1]Leakage Tree Data'!J22,"")</f>
      </c>
      <c s="72">
        <f>IF('[1]Leakage Tree Data'!K22&lt;&gt;"",'[1]Leakage Tree Data'!K22,"")</f>
      </c>
      <c s="72">
        <f>IF('[1]Leakage Tree Data'!L22&lt;&gt;"",'[1]Leakage Tree Data'!L22,"")</f>
      </c>
      <c s="72">
        <f>IF('[1]Leakage Tree Data'!M22&lt;&gt;"",'[1]Leakage Tree Data'!M22,"")</f>
      </c>
      <c s="72">
        <f>IF('[1]Leakage Tree Data'!N22&lt;&gt;"",'[1]Leakage Tree Data'!N22,"")</f>
      </c>
      <c s="72">
        <f>IF('[1]Leakage Tree Data'!O22&lt;&gt;"",'[1]Leakage Tree Data'!O22,"")</f>
      </c>
      <c s="72">
        <f>IF('[1]Leakage Tree Data'!P22&lt;&gt;"",'[1]Leakage Tree Data'!P22,"")</f>
      </c>
      <c s="72">
        <f>IF('[1]Leakage Tree Data'!Q22&lt;&gt;"",'[1]Leakage Tree Data'!Q22,"")</f>
      </c>
      <c s="72">
        <f>IF('[1]Leakage Tree Data'!R22&lt;&gt;"",'[1]Leakage Tree Data'!R22,"")</f>
        <v>1017625.85098267</v>
      </c>
      <c s="72">
        <f>IF('[1]Leakage Tree Data'!S22&lt;&gt;"",'[1]Leakage Tree Data'!S22,"")</f>
        <v>1025769.99578857</v>
      </c>
      <c s="72">
        <f>IF('[1]Leakage Tree Data'!T22&lt;&gt;"",'[1]Leakage Tree Data'!T22,"")</f>
        <v>0.807049299783003</v>
      </c>
      <c s="72">
        <f>IF('[1]Leakage Tree Data'!U22&lt;&gt;"",'[1]Leakage Tree Data'!U22,"")</f>
        <v>-8144.1448059082</v>
      </c>
      <c s="72">
        <f>IF('[1]Leakage Tree Data'!V22&lt;&gt;"",'[1]Leakage Tree Data'!V22,"")</f>
        <v>-0.807049299783003</v>
      </c>
      <c s="72">
        <f>IF('[1]Leakage Tree Data'!W22&lt;&gt;"",'[1]Leakage Tree Data'!W22,"")</f>
        <v>-1855949.2237854</v>
      </c>
      <c s="72">
        <f>IF('[1]Leakage Tree Data'!X22&lt;&gt;"",'[1]Leakage Tree Data'!X22,"")</f>
      </c>
      <c s="72">
        <f>IF('[1]Leakage Tree Data'!Y22&lt;&gt;"",'[1]Leakage Tree Data'!Y22,"")</f>
      </c>
      <c s="72">
        <f>IF('[1]Leakage Tree Data'!Z22&lt;&gt;"",'[1]Leakage Tree Data'!Z22,"")</f>
      </c>
      <c s="72">
        <f>IF('[1]Leakage Tree Data'!AA22&lt;&gt;"",'[1]Leakage Tree Data'!AA22,"")</f>
      </c>
      <c s="72">
        <f>IF('[1]Leakage Tree Data'!AB22&lt;&gt;"",'[1]Leakage Tree Data'!AB22,"")</f>
      </c>
      <c s="72">
        <f>IF('[1]Leakage Tree Data'!AC22&lt;&gt;"",'[1]Leakage Tree Data'!AC22,"")</f>
      </c>
      <c s="72">
        <f>IF('[1]Leakage Tree Data'!AD22&lt;&gt;"",'[1]Leakage Tree Data'!AD22,"")</f>
      </c>
      <c s="72">
        <f>IF('[1]Leakage Tree Data'!AE22&lt;&gt;"",'[1]Leakage Tree Data'!AE22,"")</f>
      </c>
      <c s="73">
        <f t="shared" si="4"/>
      </c>
      <c s="73">
        <f t="shared" si="5"/>
      </c>
      <c s="73">
        <f t="shared" si="6"/>
      </c>
      <c s="73">
        <f t="shared" si="7"/>
      </c>
      <c s="74">
        <f t="shared" si="8"/>
      </c>
      <c s="74">
        <f t="shared" si="9"/>
      </c>
      <c s="69" t="str">
        <f t="shared" si="0"/>
        <v>Total US - Five Below</v>
      </c>
      <c s="69" t="str">
        <f t="shared" si="1"/>
        <v>Total US - Dollar</v>
      </c>
      <c s="77"/>
    </row>
    <row r="124" spans="1:141" ht="15">
      <c r="A1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124,$AL$8:$AL$15,1,FALSE))=TRUE,IF(AND(CV124=CW124,CV124&lt;&gt;"",DI$111&lt;&gt;"",DK124&lt;&gt;""),IF(CW$101="Y",DK124-IF(ISERROR(VLOOKUP(CV124,$CA$113:$DK$300,37,FALSE))=TRUE,0,IF(VLOOKUP(CV124,$CA$113:$DK$300,37,FALSE)="",0,VLOOKUP(CV124,$CA$113:$DK$300,37,FALSE))),DK124-IF(AND(CW$102="Y",CV124=$CW$111),DI$111,0)),""),"")</f>
      </c>
      <c s="76">
        <f>IF(ISERROR(VLOOKUP(CV124,$AL$8:$AL$15,1,FALSE))=TRUE,IF(CB124&lt;&gt;"",IF(CB124&gt;0,IF(Z$4&lt;&gt;"",MIN(4,RANK(CB124,$CB$111:$CB$300)),RANK(CB124,$CB$111:$CB$300)),""),""),"")</f>
      </c>
      <c s="75">
        <f>IF(ISERROR(VLOOKUP(CV124,$AL$8:$AL$15,1,FALSE))=TRUE,IF(AND(ISERROR(FIND("NeighMkt",$CX$102))=FALSE,LEFT($CW$111,10)="ALL OUTLET",$CA124&lt;&gt;"",DK124&lt;&gt;""),"",IF(AND($CV124&lt;&gt;$CW124,$CW124=CD$110),$DK124,"")),"")</f>
      </c>
      <c s="76">
        <f>IF(ISERROR(VLOOKUP(CV124,$AL$8:$AL$15,1,FALSE))=TRUE,IF(CD124&lt;&gt;"",IF(CD124&gt;0,RANK(CD124,$CD$111:$CD$300),""),""),"")</f>
      </c>
      <c s="75">
        <f>IF(ISERROR(VLOOKUP(CV124,$AL$8:$AL$15,1,FALSE))=TRUE,IF(AND(ISERROR(FIND("NeighMkt",$CX$102))=FALSE,LEFT($CW$111,10)="ALL OUTLET",$CA124&lt;&gt;"",DK124&lt;&gt;""),"",IF(AND($CV124&lt;&gt;$CW124,$CW124=CF$110),$DK124,"")),"")</f>
      </c>
      <c s="76">
        <f>IF(ISERROR(VLOOKUP(CV124,$AL$8:$AL$15,1,FALSE))=TRUE,IF(CF124&lt;&gt;"",IF(CF124&gt;0,RANK(CF124,$CF$111:$CF$300),""),""),"")</f>
      </c>
      <c s="75">
        <f>IF(ISERROR(VLOOKUP(CV124,$AL$8:$AL$15,1,FALSE))=TRUE,IF(AND(ISERROR(FIND("NeighMkt",$CX$102))=FALSE,LEFT($CW$111,10)="ALL OUTLET",$CA124&lt;&gt;"",DK124&lt;&gt;""),"",IF(AND($CV124&lt;&gt;$CW124,$CW124=CH$110),$DK124,"")),"")</f>
      </c>
      <c s="76">
        <f>IF(ISERROR(VLOOKUP(CV124,$AL$8:$AL$15,1,FALSE))=TRUE,IF(CH124&lt;&gt;"",IF(CH124&gt;0,RANK(CH124,$CH$111:$CH$300),""),""),"")</f>
      </c>
      <c s="75">
        <f>IF(ISERROR(VLOOKUP(CV124,$AL$8:$AL$15,1,FALSE))=TRUE,IF(AND(ISERROR(FIND("NeighMkt",$CX$102))=FALSE,LEFT($CW$111,10)="ALL OUTLET",$CA124&lt;&gt;"",DK124&lt;&gt;""),"",IF($Z$4="",IF(AND($CV124&lt;&gt;$CW124,$CW124=CJ$110),$DK124,""),IF(AND($CV124&lt;&gt;$CW124,$CW124&lt;&gt;CD$110,$CW124&lt;&gt;CF$110,$CW124&lt;&gt;CH$110,$CW124&lt;&gt;$CV$111),$DK124,""))),"")</f>
      </c>
      <c s="76">
        <f>IF(ISERROR(VLOOKUP(CV124,$AL$8:$AL$15,1,FALSE))=TRUE,IF(CJ124&lt;&gt;"",IF(CJ124&gt;0,RANK(CJ124,$CJ$111:$CJ$300),""),""),"")</f>
      </c>
      <c s="75">
        <f>IF(ISERROR(VLOOKUP(CV124,$AL$8:$AL$15,1,FALSE))=TRUE,IF(AND(CV124=CW124,CV124&lt;&gt;"",DJ124&lt;&gt;""),IF(AND(ISERROR(FIND("NeighMkt",$CX$102))=FALSE,LEFT($CW$111,10)="ALL OUTLET"),DJ124-IF(ISERROR(VLOOKUP(CV124,$CA$113:$DK$300,36,FALSE))=TRUE,0,IF(VLOOKUP(CV124,$CA$113:$DK$300,36,FALSE)="",0,VLOOKUP(CV124,$CA$113:$DK$300,36,FALSE))),DJ124),""),"")</f>
      </c>
      <c s="76">
        <f>IF(ISERROR(VLOOKUP(CV124,$AL$8:$AL$15,1,FALSE))=TRUE,IF(CL124&lt;&gt;"",IF(CL124&gt;0,IF($Z$4&lt;&gt;"",MIN(4,RANK(CL124,$CL$111:$CL$300)),RANK(CL124,$CL$111:$CL$300)),""),""),"")</f>
      </c>
      <c s="75">
        <f>IF(ISERROR(VLOOKUP(CV124,$AL$8:$AL$15,1,FALSE))=TRUE,IF(AND(ISERROR(FIND("NeighMkt",$CX$102))=FALSE,LEFT($CW$111,10)="ALL OUTLET",$CA124&lt;&gt;"",DJ124&lt;&gt;""),"",IF(AND($CV124&lt;&gt;$CW124,$CW124=CN$110),$DJ124,"")),"")</f>
      </c>
      <c s="76">
        <f>IF(ISERROR(VLOOKUP(CV124,$AL$8:$AL$15,1,FALSE))=TRUE,IF(CN124&lt;&gt;"",IF(CN124&gt;0,RANK(CN124,$CN$111:$CN$300),""),""),"")</f>
      </c>
      <c s="75">
        <f>IF(ISERROR(VLOOKUP(CV124,$AL$8:$AL$15,1,FALSE))=TRUE,IF(AND(ISERROR(FIND("NeighMkt",$CX$102))=FALSE,LEFT($CW$111,10)="ALL OUTLET",$CA124&lt;&gt;"",DJ124&lt;&gt;""),"",IF(AND($CV124&lt;&gt;$CW124,$CW124=CP$110),$DJ124,"")),"")</f>
      </c>
      <c s="76">
        <f>IF(ISERROR(VLOOKUP(CV124,$AL$8:$AL$15,1,FALSE))=TRUE,IF(CP124&lt;&gt;"",IF(CP124&gt;0,RANK(CP124,$CP$111:$CP$300),""),""),"")</f>
      </c>
      <c s="75">
        <f>IF(ISERROR(VLOOKUP(CV124,$AL$8:$AL$15,1,FALSE))=TRUE,IF(AND(ISERROR(FIND("NeighMkt",$CX$102))=FALSE,LEFT($CW$111,10)="ALL OUTLET",$CA124&lt;&gt;"",DJ124&lt;&gt;""),"",IF(AND($CV124&lt;&gt;$CW124,$CW124=CR$110),$DJ124,"")),"")</f>
      </c>
      <c s="76">
        <f>IF(ISERROR(VLOOKUP(CV124,$AL$8:$AL$15,1,FALSE))=TRUE,IF(CR124&lt;&gt;"",IF(CR124&gt;0,RANK(CR124,$CR$111:$CR$300),""),""),"")</f>
      </c>
      <c s="75">
        <f>IF(ISERROR(VLOOKUP(CV124,$AL$8:$AL$15,1,FALSE))=TRUE,IF(AND(ISERROR(FIND("NeighMkt",$CX$102))=FALSE,LEFT($CW$111,10)="ALL OUTLET",$CA124&lt;&gt;"",DJ124&lt;&gt;""),"",IF($Z$4="",IF(AND($CV124&lt;&gt;$CW124,$CW124=CT$110),$DJ124,""),IF(AND($CV124&lt;&gt;$CW124,$CW124&lt;&gt;CN$110,$CW124&lt;&gt;CP$110,$CW124&lt;&gt;CR$110,$CW124&lt;&gt;$CV$111),$DJ124,""))),"")</f>
        <v>1679615.16461182</v>
      </c>
      <c s="76">
        <f>IF(ISERROR(VLOOKUP(CV124,$AL$8:$AL$15,1,FALSE))=TRUE,IF(CT124&lt;&gt;"",IF(CT124&gt;0,RANK(CT124,$CT$111:$CT$300),""),""),"")</f>
        <v>17</v>
      </c>
      <c s="65" t="str">
        <f t="shared" si="2"/>
        <v>Freds</v>
      </c>
      <c s="65" t="str">
        <f t="shared" si="3"/>
        <v>Dollar</v>
      </c>
      <c s="72" t="str">
        <f>IF('[1]Leakage Tree Data'!A23&lt;&gt;"",'[1]Leakage Tree Data'!A23,"")</f>
        <v>Total US - Freds</v>
      </c>
      <c s="72" t="str">
        <f>IF('[1]Leakage Tree Data'!B23&lt;&gt;"",'[1]Leakage Tree Data'!B23,"")</f>
        <v>Total US - Dollar</v>
      </c>
      <c s="72">
        <f>IF('[1]Leakage Tree Data'!C23&lt;&gt;"",'[1]Leakage Tree Data'!C23,"")</f>
        <v>121171760.292236</v>
      </c>
      <c s="72">
        <f>IF('[1]Leakage Tree Data'!D23&lt;&gt;"",'[1]Leakage Tree Data'!D23,"")</f>
        <v>2989745.1673584</v>
      </c>
      <c s="72">
        <f>IF('[1]Leakage Tree Data'!E23&lt;&gt;"",'[1]Leakage Tree Data'!E23,"")</f>
        <v>2.46736133910069</v>
      </c>
      <c s="72">
        <f>IF('[1]Leakage Tree Data'!F23&lt;&gt;"",'[1]Leakage Tree Data'!F23,"")</f>
        <v>118182015.124878</v>
      </c>
      <c s="72">
        <f>IF('[1]Leakage Tree Data'!G23&lt;&gt;"",'[1]Leakage Tree Data'!G23,"")</f>
        <v>97.5326386608993</v>
      </c>
      <c s="72">
        <f>IF('[1]Leakage Tree Data'!H23&lt;&gt;"",'[1]Leakage Tree Data'!H23,"")</f>
        <v>61518209.9918823</v>
      </c>
      <c s="72" t="str">
        <f>IF('[1]Leakage Tree Data'!I23&lt;&gt;"",'[1]Leakage Tree Data'!I23,"")</f>
        <v>Dollar</v>
      </c>
      <c s="72">
        <f>IF('[1]Leakage Tree Data'!J23&lt;&gt;"",'[1]Leakage Tree Data'!J23,"")</f>
        <v>99.7729419671118</v>
      </c>
      <c s="72">
        <f>IF('[1]Leakage Tree Data'!K23&lt;&gt;"",'[1]Leakage Tree Data'!K23,"")</f>
        <v>139682.037475586</v>
      </c>
      <c s="72">
        <f>IF('[1]Leakage Tree Data'!L23&lt;&gt;"",'[1]Leakage Tree Data'!L23,"")</f>
      </c>
      <c s="72">
        <f>IF('[1]Leakage Tree Data'!M23&lt;&gt;"",'[1]Leakage Tree Data'!M23,"")</f>
        <v>1679615.16461182</v>
      </c>
      <c s="72">
        <f>IF('[1]Leakage Tree Data'!N23&lt;&gt;"",'[1]Leakage Tree Data'!N23,"")</f>
      </c>
      <c s="72">
        <f>IF('[1]Leakage Tree Data'!O23&lt;&gt;"",'[1]Leakage Tree Data'!O23,"")</f>
        <v>23.5763353812861</v>
      </c>
      <c s="72">
        <f>IF('[1]Leakage Tree Data'!P23&lt;&gt;"",'[1]Leakage Tree Data'!P23,"")</f>
        <v>473867.530391531</v>
      </c>
      <c s="72">
        <f>IF('[1]Leakage Tree Data'!Q23&lt;&gt;"",'[1]Leakage Tree Data'!Q23,"")</f>
      </c>
      <c s="72">
        <f>IF('[1]Leakage Tree Data'!R23&lt;&gt;"",'[1]Leakage Tree Data'!R23,"")</f>
        <v>1017625.85098267</v>
      </c>
      <c s="72">
        <f>IF('[1]Leakage Tree Data'!S23&lt;&gt;"",'[1]Leakage Tree Data'!S23,"")</f>
        <v>-554478.842773438</v>
      </c>
      <c s="72">
        <f>IF('[1]Leakage Tree Data'!T23&lt;&gt;"",'[1]Leakage Tree Data'!T23,"")</f>
        <v>-0.482369876236471</v>
      </c>
      <c s="72">
        <f>IF('[1]Leakage Tree Data'!U23&lt;&gt;"",'[1]Leakage Tree Data'!U23,"")</f>
        <v>1572104.6937561</v>
      </c>
      <c s="72">
        <f>IF('[1]Leakage Tree Data'!V23&lt;&gt;"",'[1]Leakage Tree Data'!V23,"")</f>
        <v>0.482369876236461</v>
      </c>
      <c s="72">
        <f>IF('[1]Leakage Tree Data'!W23&lt;&gt;"",'[1]Leakage Tree Data'!W23,"")</f>
        <v>-1855949.2237854</v>
      </c>
      <c s="72">
        <f>IF('[1]Leakage Tree Data'!X23&lt;&gt;"",'[1]Leakage Tree Data'!X23,"")</f>
      </c>
      <c s="72">
        <f>IF('[1]Leakage Tree Data'!Y23&lt;&gt;"",'[1]Leakage Tree Data'!Y23,"")</f>
        <v>0.191154472744813</v>
      </c>
      <c s="72">
        <f>IF('[1]Leakage Tree Data'!Z23&lt;&gt;"",'[1]Leakage Tree Data'!Z23,"")</f>
        <v>-125356.621704102</v>
      </c>
      <c s="72">
        <f>IF('[1]Leakage Tree Data'!AA23&lt;&gt;"",'[1]Leakage Tree Data'!AA23,"")</f>
      </c>
      <c s="72">
        <f>IF('[1]Leakage Tree Data'!AB23&lt;&gt;"",'[1]Leakage Tree Data'!AB23,"")</f>
        <v>-314224.443099976</v>
      </c>
      <c s="72">
        <f>IF('[1]Leakage Tree Data'!AC23&lt;&gt;"",'[1]Leakage Tree Data'!AC23,"")</f>
      </c>
      <c s="72">
        <f>IF('[1]Leakage Tree Data'!AD23&lt;&gt;"",'[1]Leakage Tree Data'!AD23,"")</f>
        <v>-4.62077726492975</v>
      </c>
      <c s="72">
        <f>IF('[1]Leakage Tree Data'!AE23&lt;&gt;"",'[1]Leakage Tree Data'!AE23,"")</f>
      </c>
      <c s="73">
        <f t="shared" si="4"/>
      </c>
      <c s="73">
        <f t="shared" si="5"/>
      </c>
      <c s="73">
        <f t="shared" si="6"/>
      </c>
      <c s="73">
        <f t="shared" si="7"/>
      </c>
      <c s="74">
        <f t="shared" si="8"/>
      </c>
      <c s="74">
        <f t="shared" si="9"/>
      </c>
      <c s="69" t="str">
        <f t="shared" si="0"/>
        <v>Total US - Freds</v>
      </c>
      <c s="69" t="str">
        <f t="shared" si="1"/>
        <v>Total US - Dollar</v>
      </c>
      <c s="77"/>
    </row>
    <row r="125" spans="1:141" ht="15">
      <c r="A1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125,$AL$8:$AL$15,1,FALSE))=TRUE,IF(AND(CV125=CW125,CV125&lt;&gt;"",DI$111&lt;&gt;"",DK125&lt;&gt;""),IF(CW$101="Y",DK125-IF(ISERROR(VLOOKUP(CV125,$CA$113:$DK$300,37,FALSE))=TRUE,0,IF(VLOOKUP(CV125,$CA$113:$DK$300,37,FALSE)="",0,VLOOKUP(CV125,$CA$113:$DK$300,37,FALSE))),DK125-IF(AND(CW$102="Y",CV125=$CW$111),DI$111,0)),""),"")</f>
      </c>
      <c s="76">
        <f>IF(ISERROR(VLOOKUP(CV125,$AL$8:$AL$15,1,FALSE))=TRUE,IF(CB125&lt;&gt;"",IF(CB125&gt;0,IF(Z$4&lt;&gt;"",MIN(4,RANK(CB125,$CB$111:$CB$300)),RANK(CB125,$CB$111:$CB$300)),""),""),"")</f>
      </c>
      <c s="75">
        <f>IF(ISERROR(VLOOKUP(CV125,$AL$8:$AL$15,1,FALSE))=TRUE,IF(AND(ISERROR(FIND("NeighMkt",$CX$102))=FALSE,LEFT($CW$111,10)="ALL OUTLET",$CA125&lt;&gt;"",DK125&lt;&gt;""),"",IF(AND($CV125&lt;&gt;$CW125,$CW125=CD$110),$DK125,"")),"")</f>
      </c>
      <c s="76">
        <f>IF(ISERROR(VLOOKUP(CV125,$AL$8:$AL$15,1,FALSE))=TRUE,IF(CD125&lt;&gt;"",IF(CD125&gt;0,RANK(CD125,$CD$111:$CD$300),""),""),"")</f>
      </c>
      <c s="75">
        <f>IF(ISERROR(VLOOKUP(CV125,$AL$8:$AL$15,1,FALSE))=TRUE,IF(AND(ISERROR(FIND("NeighMkt",$CX$102))=FALSE,LEFT($CW$111,10)="ALL OUTLET",$CA125&lt;&gt;"",DK125&lt;&gt;""),"",IF(AND($CV125&lt;&gt;$CW125,$CW125=CF$110),$DK125,"")),"")</f>
      </c>
      <c s="76">
        <f>IF(ISERROR(VLOOKUP(CV125,$AL$8:$AL$15,1,FALSE))=TRUE,IF(CF125&lt;&gt;"",IF(CF125&gt;0,RANK(CF125,$CF$111:$CF$300),""),""),"")</f>
      </c>
      <c s="75">
        <f>IF(ISERROR(VLOOKUP(CV125,$AL$8:$AL$15,1,FALSE))=TRUE,IF(AND(ISERROR(FIND("NeighMkt",$CX$102))=FALSE,LEFT($CW$111,10)="ALL OUTLET",$CA125&lt;&gt;"",DK125&lt;&gt;""),"",IF(AND($CV125&lt;&gt;$CW125,$CW125=CH$110),$DK125,"")),"")</f>
      </c>
      <c s="76">
        <f>IF(ISERROR(VLOOKUP(CV125,$AL$8:$AL$15,1,FALSE))=TRUE,IF(CH125&lt;&gt;"",IF(CH125&gt;0,RANK(CH125,$CH$111:$CH$300),""),""),"")</f>
      </c>
      <c s="75">
        <f>IF(ISERROR(VLOOKUP(CV125,$AL$8:$AL$15,1,FALSE))=TRUE,IF(AND(ISERROR(FIND("NeighMkt",$CX$102))=FALSE,LEFT($CW$111,10)="ALL OUTLET",$CA125&lt;&gt;"",DK125&lt;&gt;""),"",IF($Z$4="",IF(AND($CV125&lt;&gt;$CW125,$CW125=CJ$110),$DK125,""),IF(AND($CV125&lt;&gt;$CW125,$CW125&lt;&gt;CD$110,$CW125&lt;&gt;CF$110,$CW125&lt;&gt;CH$110,$CW125&lt;&gt;$CV$111),$DK125,""))),"")</f>
        <v>2546034.38015747</v>
      </c>
      <c s="76">
        <f>IF(ISERROR(VLOOKUP(CV125,$AL$8:$AL$15,1,FALSE))=TRUE,IF(CJ125&lt;&gt;"",IF(CJ125&gt;0,RANK(CJ125,$CJ$111:$CJ$300),""),""),"")</f>
        <v>11</v>
      </c>
      <c s="75">
        <f>IF(ISERROR(VLOOKUP(CV125,$AL$8:$AL$15,1,FALSE))=TRUE,IF(AND(CV125=CW125,CV125&lt;&gt;"",DJ125&lt;&gt;""),IF(AND(ISERROR(FIND("NeighMkt",$CX$102))=FALSE,LEFT($CW$111,10)="ALL OUTLET"),DJ125-IF(ISERROR(VLOOKUP(CV125,$CA$113:$DK$300,36,FALSE))=TRUE,0,IF(VLOOKUP(CV125,$CA$113:$DK$300,36,FALSE)="",0,VLOOKUP(CV125,$CA$113:$DK$300,36,FALSE))),DJ125),""),"")</f>
      </c>
      <c s="76">
        <f>IF(ISERROR(VLOOKUP(CV125,$AL$8:$AL$15,1,FALSE))=TRUE,IF(CL125&lt;&gt;"",IF(CL125&gt;0,IF($Z$4&lt;&gt;"",MIN(4,RANK(CL125,$CL$111:$CL$300)),RANK(CL125,$CL$111:$CL$300)),""),""),"")</f>
      </c>
      <c s="75">
        <f>IF(ISERROR(VLOOKUP(CV125,$AL$8:$AL$15,1,FALSE))=TRUE,IF(AND(ISERROR(FIND("NeighMkt",$CX$102))=FALSE,LEFT($CW$111,10)="ALL OUTLET",$CA125&lt;&gt;"",DJ125&lt;&gt;""),"",IF(AND($CV125&lt;&gt;$CW125,$CW125=CN$110),$DJ125,"")),"")</f>
      </c>
      <c s="76">
        <f>IF(ISERROR(VLOOKUP(CV125,$AL$8:$AL$15,1,FALSE))=TRUE,IF(CN125&lt;&gt;"",IF(CN125&gt;0,RANK(CN125,$CN$111:$CN$300),""),""),"")</f>
      </c>
      <c s="75">
        <f>IF(ISERROR(VLOOKUP(CV125,$AL$8:$AL$15,1,FALSE))=TRUE,IF(AND(ISERROR(FIND("NeighMkt",$CX$102))=FALSE,LEFT($CW$111,10)="ALL OUTLET",$CA125&lt;&gt;"",DJ125&lt;&gt;""),"",IF(AND($CV125&lt;&gt;$CW125,$CW125=CP$110),$DJ125,"")),"")</f>
      </c>
      <c s="76">
        <f>IF(ISERROR(VLOOKUP(CV125,$AL$8:$AL$15,1,FALSE))=TRUE,IF(CP125&lt;&gt;"",IF(CP125&gt;0,RANK(CP125,$CP$111:$CP$300),""),""),"")</f>
      </c>
      <c s="75">
        <f>IF(ISERROR(VLOOKUP(CV125,$AL$8:$AL$15,1,FALSE))=TRUE,IF(AND(ISERROR(FIND("NeighMkt",$CX$102))=FALSE,LEFT($CW$111,10)="ALL OUTLET",$CA125&lt;&gt;"",DJ125&lt;&gt;""),"",IF(AND($CV125&lt;&gt;$CW125,$CW125=CR$110),$DJ125,"")),"")</f>
      </c>
      <c s="76">
        <f>IF(ISERROR(VLOOKUP(CV125,$AL$8:$AL$15,1,FALSE))=TRUE,IF(CR125&lt;&gt;"",IF(CR125&gt;0,RANK(CR125,$CR$111:$CR$300),""),""),"")</f>
      </c>
      <c s="75">
        <f>IF(ISERROR(VLOOKUP(CV125,$AL$8:$AL$15,1,FALSE))=TRUE,IF(AND(ISERROR(FIND("NeighMkt",$CX$102))=FALSE,LEFT($CW$111,10)="ALL OUTLET",$CA125&lt;&gt;"",DJ125&lt;&gt;""),"",IF($Z$4="",IF(AND($CV125&lt;&gt;$CW125,$CW125=CT$110),$DJ125,""),IF(AND($CV125&lt;&gt;$CW125,$CW125&lt;&gt;CN$110,$CW125&lt;&gt;CP$110,$CW125&lt;&gt;CR$110,$CW125&lt;&gt;$CV$111),$DJ125,""))),"")</f>
        <v>9579031.14065552</v>
      </c>
      <c s="76">
        <f>IF(ISERROR(VLOOKUP(CV125,$AL$8:$AL$15,1,FALSE))=TRUE,IF(CT125&lt;&gt;"",IF(CT125&gt;0,RANK(CT125,$CT$111:$CT$300),""),""),"")</f>
        <v>11</v>
      </c>
      <c s="65" t="str">
        <f t="shared" si="2"/>
        <v>Ninetynine Cents</v>
      </c>
      <c s="65" t="str">
        <f t="shared" si="3"/>
        <v>Dollar</v>
      </c>
      <c s="72" t="str">
        <f>IF('[1]Leakage Tree Data'!A24&lt;&gt;"",'[1]Leakage Tree Data'!A24,"")</f>
        <v>Total US - Ninetynine Cents</v>
      </c>
      <c s="72" t="str">
        <f>IF('[1]Leakage Tree Data'!B24&lt;&gt;"",'[1]Leakage Tree Data'!B24,"")</f>
        <v>Total US - Dollar</v>
      </c>
      <c s="72">
        <f>IF('[1]Leakage Tree Data'!C24&lt;&gt;"",'[1]Leakage Tree Data'!C24,"")</f>
        <v>121171760.292236</v>
      </c>
      <c s="72">
        <f>IF('[1]Leakage Tree Data'!D24&lt;&gt;"",'[1]Leakage Tree Data'!D24,"")</f>
        <v>6260447.05426025</v>
      </c>
      <c s="72">
        <f>IF('[1]Leakage Tree Data'!E24&lt;&gt;"",'[1]Leakage Tree Data'!E24,"")</f>
        <v>5.16658917817287</v>
      </c>
      <c s="72">
        <f>IF('[1]Leakage Tree Data'!F24&lt;&gt;"",'[1]Leakage Tree Data'!F24,"")</f>
        <v>114911313.237976</v>
      </c>
      <c s="72">
        <f>IF('[1]Leakage Tree Data'!G24&lt;&gt;"",'[1]Leakage Tree Data'!G24,"")</f>
        <v>94.8334108218271</v>
      </c>
      <c s="72">
        <f>IF('[1]Leakage Tree Data'!H24&lt;&gt;"",'[1]Leakage Tree Data'!H24,"")</f>
        <v>61518209.9918823</v>
      </c>
      <c s="72" t="str">
        <f>IF('[1]Leakage Tree Data'!I24&lt;&gt;"",'[1]Leakage Tree Data'!I24,"")</f>
        <v>Dollar</v>
      </c>
      <c s="72">
        <f>IF('[1]Leakage Tree Data'!J24&lt;&gt;"",'[1]Leakage Tree Data'!J24,"")</f>
        <v>98.4184052676352</v>
      </c>
      <c s="72">
        <f>IF('[1]Leakage Tree Data'!K24&lt;&gt;"",'[1]Leakage Tree Data'!K24,"")</f>
        <v>972968.768676758</v>
      </c>
      <c s="72">
        <f>IF('[1]Leakage Tree Data'!L24&lt;&gt;"",'[1]Leakage Tree Data'!L24,"")</f>
        <v>2546034.38015747</v>
      </c>
      <c s="72">
        <f>IF('[1]Leakage Tree Data'!M24&lt;&gt;"",'[1]Leakage Tree Data'!M24,"")</f>
        <v>9579031.14065552</v>
      </c>
      <c s="72">
        <f>IF('[1]Leakage Tree Data'!N24&lt;&gt;"",'[1]Leakage Tree Data'!N24,"")</f>
        <v>2546034.38015747</v>
      </c>
      <c s="72">
        <f>IF('[1]Leakage Tree Data'!O24&lt;&gt;"",'[1]Leakage Tree Data'!O24,"")</f>
        <v>24.1367721905013</v>
      </c>
      <c s="72">
        <f>IF('[1]Leakage Tree Data'!P24&lt;&gt;"",'[1]Leakage Tree Data'!P24,"")</f>
        <v>259979.413049341</v>
      </c>
      <c s="72">
        <f>IF('[1]Leakage Tree Data'!Q24&lt;&gt;"",'[1]Leakage Tree Data'!Q24,"")</f>
      </c>
      <c s="72">
        <f>IF('[1]Leakage Tree Data'!R24&lt;&gt;"",'[1]Leakage Tree Data'!R24,"")</f>
        <v>1017625.85098267</v>
      </c>
      <c s="72">
        <f>IF('[1]Leakage Tree Data'!S24&lt;&gt;"",'[1]Leakage Tree Data'!S24,"")</f>
        <v>-140504.197479248</v>
      </c>
      <c s="72">
        <f>IF('[1]Leakage Tree Data'!T24&lt;&gt;"",'[1]Leakage Tree Data'!T24,"")</f>
        <v>-0.160694216198452</v>
      </c>
      <c s="72">
        <f>IF('[1]Leakage Tree Data'!U24&lt;&gt;"",'[1]Leakage Tree Data'!U24,"")</f>
        <v>1158130.04846191</v>
      </c>
      <c s="72">
        <f>IF('[1]Leakage Tree Data'!V24&lt;&gt;"",'[1]Leakage Tree Data'!V24,"")</f>
        <v>0.160694216198451</v>
      </c>
      <c s="72">
        <f>IF('[1]Leakage Tree Data'!W24&lt;&gt;"",'[1]Leakage Tree Data'!W24,"")</f>
        <v>-1855949.2237854</v>
      </c>
      <c s="72">
        <f>IF('[1]Leakage Tree Data'!X24&lt;&gt;"",'[1]Leakage Tree Data'!X24,"")</f>
      </c>
      <c s="72">
        <f>IF('[1]Leakage Tree Data'!Y24&lt;&gt;"",'[1]Leakage Tree Data'!Y24,"")</f>
        <v>-0.100202590240457</v>
      </c>
      <c s="72">
        <f>IF('[1]Leakage Tree Data'!Z24&lt;&gt;"",'[1]Leakage Tree Data'!Z24,"")</f>
        <v>34148.953918457</v>
      </c>
      <c s="72">
        <f>IF('[1]Leakage Tree Data'!AA24&lt;&gt;"",'[1]Leakage Tree Data'!AA24,"")</f>
        <v>376966.094543457</v>
      </c>
      <c s="72">
        <f>IF('[1]Leakage Tree Data'!AB24&lt;&gt;"",'[1]Leakage Tree Data'!AB24,"")</f>
        <v>628935.302200317</v>
      </c>
      <c s="72">
        <f>IF('[1]Leakage Tree Data'!AC24&lt;&gt;"",'[1]Leakage Tree Data'!AC24,"")</f>
        <v>376966.094543457</v>
      </c>
      <c s="72">
        <f>IF('[1]Leakage Tree Data'!AD24&lt;&gt;"",'[1]Leakage Tree Data'!AD24,"")</f>
        <v>1.26489280518662</v>
      </c>
      <c s="72">
        <f>IF('[1]Leakage Tree Data'!AE24&lt;&gt;"",'[1]Leakage Tree Data'!AE24,"")</f>
      </c>
      <c s="73">
        <f t="shared" si="4"/>
      </c>
      <c s="73">
        <f t="shared" si="5"/>
      </c>
      <c s="73">
        <f t="shared" si="6"/>
      </c>
      <c s="73">
        <f t="shared" si="7"/>
      </c>
      <c s="74">
        <f t="shared" si="8"/>
      </c>
      <c s="74">
        <f t="shared" si="9"/>
      </c>
      <c s="69" t="str">
        <f t="shared" si="0"/>
        <v>Total US - Ninetynine Cents</v>
      </c>
      <c s="69" t="str">
        <f t="shared" si="1"/>
        <v>Total US - Dollar</v>
      </c>
      <c s="77"/>
    </row>
    <row r="126" spans="1:141" ht="15">
      <c r="A1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126,$AL$8:$AL$15,1,FALSE))=TRUE,IF(AND(CV126=CW126,CV126&lt;&gt;"",DI$111&lt;&gt;"",DK126&lt;&gt;""),IF(CW$101="Y",DK126-IF(ISERROR(VLOOKUP(CV126,$CA$113:$DK$300,37,FALSE))=TRUE,0,IF(VLOOKUP(CV126,$CA$113:$DK$300,37,FALSE)="",0,VLOOKUP(CV126,$CA$113:$DK$300,37,FALSE))),DK126-IF(AND(CW$102="Y",CV126=$CW$111),DI$111,0)),""),"")</f>
      </c>
      <c s="76">
        <f>IF(ISERROR(VLOOKUP(CV126,$AL$8:$AL$15,1,FALSE))=TRUE,IF(CB126&lt;&gt;"",IF(CB126&gt;0,IF(Z$4&lt;&gt;"",MIN(4,RANK(CB126,$CB$111:$CB$300)),RANK(CB126,$CB$111:$CB$300)),""),""),"")</f>
      </c>
      <c s="75">
        <f>IF(ISERROR(VLOOKUP(CV126,$AL$8:$AL$15,1,FALSE))=TRUE,IF(AND(ISERROR(FIND("NeighMkt",$CX$102))=FALSE,LEFT($CW$111,10)="ALL OUTLET",$CA126&lt;&gt;"",DK126&lt;&gt;""),"",IF(AND($CV126&lt;&gt;$CW126,$CW126=CD$110),$DK126,"")),"")</f>
      </c>
      <c s="76">
        <f>IF(ISERROR(VLOOKUP(CV126,$AL$8:$AL$15,1,FALSE))=TRUE,IF(CD126&lt;&gt;"",IF(CD126&gt;0,RANK(CD126,$CD$111:$CD$300),""),""),"")</f>
      </c>
      <c s="75">
        <f>IF(ISERROR(VLOOKUP(CV126,$AL$8:$AL$15,1,FALSE))=TRUE,IF(AND(ISERROR(FIND("NeighMkt",$CX$102))=FALSE,LEFT($CW$111,10)="ALL OUTLET",$CA126&lt;&gt;"",DK126&lt;&gt;""),"",IF(AND($CV126&lt;&gt;$CW126,$CW126=CF$110),$DK126,"")),"")</f>
      </c>
      <c s="76">
        <f>IF(ISERROR(VLOOKUP(CV126,$AL$8:$AL$15,1,FALSE))=TRUE,IF(CF126&lt;&gt;"",IF(CF126&gt;0,RANK(CF126,$CF$111:$CF$300),""),""),"")</f>
      </c>
      <c s="75">
        <f>IF(ISERROR(VLOOKUP(CV126,$AL$8:$AL$15,1,FALSE))=TRUE,IF(AND(ISERROR(FIND("NeighMkt",$CX$102))=FALSE,LEFT($CW$111,10)="ALL OUTLET",$CA126&lt;&gt;"",DK126&lt;&gt;""),"",IF(AND($CV126&lt;&gt;$CW126,$CW126=CH$110),$DK126,"")),"")</f>
      </c>
      <c s="76">
        <f>IF(ISERROR(VLOOKUP(CV126,$AL$8:$AL$15,1,FALSE))=TRUE,IF(CH126&lt;&gt;"",IF(CH126&gt;0,RANK(CH126,$CH$111:$CH$300),""),""),"")</f>
      </c>
      <c s="75">
        <f>IF(ISERROR(VLOOKUP(CV126,$AL$8:$AL$15,1,FALSE))=TRUE,IF(AND(ISERROR(FIND("NeighMkt",$CX$102))=FALSE,LEFT($CW$111,10)="ALL OUTLET",$CA126&lt;&gt;"",DK126&lt;&gt;""),"",IF($Z$4="",IF(AND($CV126&lt;&gt;$CW126,$CW126=CJ$110),$DK126,""),IF(AND($CV126&lt;&gt;$CW126,$CW126&lt;&gt;CD$110,$CW126&lt;&gt;CF$110,$CW126&lt;&gt;CH$110,$CW126&lt;&gt;$CV$111),$DK126,""))),"")</f>
      </c>
      <c s="76">
        <f>IF(ISERROR(VLOOKUP(CV126,$AL$8:$AL$15,1,FALSE))=TRUE,IF(CJ126&lt;&gt;"",IF(CJ126&gt;0,RANK(CJ126,$CJ$111:$CJ$300),""),""),"")</f>
      </c>
      <c s="75">
        <f>IF(ISERROR(VLOOKUP(CV126,$AL$8:$AL$15,1,FALSE))=TRUE,IF(AND(CV126=CW126,CV126&lt;&gt;"",DJ126&lt;&gt;""),IF(AND(ISERROR(FIND("NeighMkt",$CX$102))=FALSE,LEFT($CW$111,10)="ALL OUTLET"),DJ126-IF(ISERROR(VLOOKUP(CV126,$CA$113:$DK$300,36,FALSE))=TRUE,0,IF(VLOOKUP(CV126,$CA$113:$DK$300,36,FALSE)="",0,VLOOKUP(CV126,$CA$113:$DK$300,36,FALSE))),DJ126),""),"")</f>
      </c>
      <c s="76">
        <f>IF(ISERROR(VLOOKUP(CV126,$AL$8:$AL$15,1,FALSE))=TRUE,IF(CL126&lt;&gt;"",IF(CL126&gt;0,IF($Z$4&lt;&gt;"",MIN(4,RANK(CL126,$CL$111:$CL$300)),RANK(CL126,$CL$111:$CL$300)),""),""),"")</f>
      </c>
      <c s="75">
        <f>IF(ISERROR(VLOOKUP(CV126,$AL$8:$AL$15,1,FALSE))=TRUE,IF(AND(ISERROR(FIND("NeighMkt",$CX$102))=FALSE,LEFT($CW$111,10)="ALL OUTLET",$CA126&lt;&gt;"",DJ126&lt;&gt;""),"",IF(AND($CV126&lt;&gt;$CW126,$CW126=CN$110),$DJ126,"")),"")</f>
      </c>
      <c s="76">
        <f>IF(ISERROR(VLOOKUP(CV126,$AL$8:$AL$15,1,FALSE))=TRUE,IF(CN126&lt;&gt;"",IF(CN126&gt;0,RANK(CN126,$CN$111:$CN$300),""),""),"")</f>
      </c>
      <c s="75">
        <f>IF(ISERROR(VLOOKUP(CV126,$AL$8:$AL$15,1,FALSE))=TRUE,IF(AND(ISERROR(FIND("NeighMkt",$CX$102))=FALSE,LEFT($CW$111,10)="ALL OUTLET",$CA126&lt;&gt;"",DJ126&lt;&gt;""),"",IF(AND($CV126&lt;&gt;$CW126,$CW126=CP$110),$DJ126,"")),"")</f>
      </c>
      <c s="76">
        <f>IF(ISERROR(VLOOKUP(CV126,$AL$8:$AL$15,1,FALSE))=TRUE,IF(CP126&lt;&gt;"",IF(CP126&gt;0,RANK(CP126,$CP$111:$CP$300),""),""),"")</f>
      </c>
      <c s="75">
        <f>IF(ISERROR(VLOOKUP(CV126,$AL$8:$AL$15,1,FALSE))=TRUE,IF(AND(ISERROR(FIND("NeighMkt",$CX$102))=FALSE,LEFT($CW$111,10)="ALL OUTLET",$CA126&lt;&gt;"",DJ126&lt;&gt;""),"",IF(AND($CV126&lt;&gt;$CW126,$CW126=CR$110),$DJ126,"")),"")</f>
      </c>
      <c s="76">
        <f>IF(ISERROR(VLOOKUP(CV126,$AL$8:$AL$15,1,FALSE))=TRUE,IF(CR126&lt;&gt;"",IF(CR126&gt;0,RANK(CR126,$CR$111:$CR$300),""),""),"")</f>
      </c>
      <c s="75">
        <f>IF(ISERROR(VLOOKUP(CV126,$AL$8:$AL$15,1,FALSE))=TRUE,IF(AND(ISERROR(FIND("NeighMkt",$CX$102))=FALSE,LEFT($CW$111,10)="ALL OUTLET",$CA126&lt;&gt;"",DJ126&lt;&gt;""),"",IF($Z$4="",IF(AND($CV126&lt;&gt;$CW126,$CW126=CT$110),$DJ126,""),IF(AND($CV126&lt;&gt;$CW126,$CW126&lt;&gt;CN$110,$CW126&lt;&gt;CP$110,$CW126&lt;&gt;CR$110,$CW126&lt;&gt;$CV$111),$DJ126,""))),"")</f>
      </c>
      <c s="76">
        <f>IF(ISERROR(VLOOKUP(CV126,$AL$8:$AL$15,1,FALSE))=TRUE,IF(CT126&lt;&gt;"",IF(CT126&gt;0,RANK(CT126,$CT$111:$CT$300),""),""),"")</f>
      </c>
      <c s="65" t="str">
        <f t="shared" si="2"/>
        <v>Your Dollar Store w/ More</v>
      </c>
      <c s="65" t="str">
        <f t="shared" si="3"/>
        <v>Dollar</v>
      </c>
      <c s="72" t="str">
        <f>IF('[1]Leakage Tree Data'!A25&lt;&gt;"",'[1]Leakage Tree Data'!A25,"")</f>
        <v>Total US - Your Dollar Store w/ More</v>
      </c>
      <c s="72" t="str">
        <f>IF('[1]Leakage Tree Data'!B25&lt;&gt;"",'[1]Leakage Tree Data'!B25,"")</f>
        <v>Total US - Dollar</v>
      </c>
      <c s="72">
        <f>IF('[1]Leakage Tree Data'!C25&lt;&gt;"",'[1]Leakage Tree Data'!C25,"")</f>
        <v>121171760.292236</v>
      </c>
      <c s="72">
        <f>IF('[1]Leakage Tree Data'!D25&lt;&gt;"",'[1]Leakage Tree Data'!D25,"")</f>
        <v>1234525.25256348</v>
      </c>
      <c s="72">
        <f>IF('[1]Leakage Tree Data'!E25&lt;&gt;"",'[1]Leakage Tree Data'!E25,"")</f>
        <v>1.01882257845071</v>
      </c>
      <c s="72">
        <f>IF('[1]Leakage Tree Data'!F25&lt;&gt;"",'[1]Leakage Tree Data'!F25,"")</f>
        <v>119937235.039673</v>
      </c>
      <c s="72">
        <f>IF('[1]Leakage Tree Data'!G25&lt;&gt;"",'[1]Leakage Tree Data'!G25,"")</f>
        <v>98.9811774215493</v>
      </c>
      <c s="72">
        <f>IF('[1]Leakage Tree Data'!H25&lt;&gt;"",'[1]Leakage Tree Data'!H25,"")</f>
        <v>61518209.9918823</v>
      </c>
      <c s="72" t="str">
        <f>IF('[1]Leakage Tree Data'!I25&lt;&gt;"",'[1]Leakage Tree Data'!I25,"")</f>
        <v>Dollar</v>
      </c>
      <c s="72">
        <f>IF('[1]Leakage Tree Data'!J25&lt;&gt;"",'[1]Leakage Tree Data'!J25,"")</f>
      </c>
      <c s="72">
        <f>IF('[1]Leakage Tree Data'!K25&lt;&gt;"",'[1]Leakage Tree Data'!K25,"")</f>
      </c>
      <c s="72">
        <f>IF('[1]Leakage Tree Data'!L25&lt;&gt;"",'[1]Leakage Tree Data'!L25,"")</f>
      </c>
      <c s="72">
        <f>IF('[1]Leakage Tree Data'!M25&lt;&gt;"",'[1]Leakage Tree Data'!M25,"")</f>
      </c>
      <c s="72">
        <f>IF('[1]Leakage Tree Data'!N25&lt;&gt;"",'[1]Leakage Tree Data'!N25,"")</f>
      </c>
      <c s="72">
        <f>IF('[1]Leakage Tree Data'!O25&lt;&gt;"",'[1]Leakage Tree Data'!O25,"")</f>
        <v>13.0049779449398</v>
      </c>
      <c s="72">
        <f>IF('[1]Leakage Tree Data'!P25&lt;&gt;"",'[1]Leakage Tree Data'!P25,"")</f>
        <v>113015.684855986</v>
      </c>
      <c s="72">
        <f>IF('[1]Leakage Tree Data'!Q25&lt;&gt;"",'[1]Leakage Tree Data'!Q25,"")</f>
      </c>
      <c s="72">
        <f>IF('[1]Leakage Tree Data'!R25&lt;&gt;"",'[1]Leakage Tree Data'!R25,"")</f>
        <v>1017625.85098267</v>
      </c>
      <c s="72">
        <f>IF('[1]Leakage Tree Data'!S25&lt;&gt;"",'[1]Leakage Tree Data'!S25,"")</f>
        <v>-242116.871002197</v>
      </c>
      <c s="72">
        <f>IF('[1]Leakage Tree Data'!T25&lt;&gt;"",'[1]Leakage Tree Data'!T25,"")</f>
        <v>-0.21013398674151</v>
      </c>
      <c s="72">
        <f>IF('[1]Leakage Tree Data'!U25&lt;&gt;"",'[1]Leakage Tree Data'!U25,"")</f>
        <v>1259742.72198486</v>
      </c>
      <c s="72">
        <f>IF('[1]Leakage Tree Data'!V25&lt;&gt;"",'[1]Leakage Tree Data'!V25,"")</f>
        <v>0.210133986741511</v>
      </c>
      <c s="72">
        <f>IF('[1]Leakage Tree Data'!W25&lt;&gt;"",'[1]Leakage Tree Data'!W25,"")</f>
        <v>-1855949.2237854</v>
      </c>
      <c s="72">
        <f>IF('[1]Leakage Tree Data'!X25&lt;&gt;"",'[1]Leakage Tree Data'!X25,"")</f>
      </c>
      <c s="72">
        <f>IF('[1]Leakage Tree Data'!Y25&lt;&gt;"",'[1]Leakage Tree Data'!Y25,"")</f>
      </c>
      <c s="72">
        <f>IF('[1]Leakage Tree Data'!Z25&lt;&gt;"",'[1]Leakage Tree Data'!Z25,"")</f>
      </c>
      <c s="72">
        <f>IF('[1]Leakage Tree Data'!AA25&lt;&gt;"",'[1]Leakage Tree Data'!AA25,"")</f>
      </c>
      <c s="72">
        <f>IF('[1]Leakage Tree Data'!AB25&lt;&gt;"",'[1]Leakage Tree Data'!AB25,"")</f>
      </c>
      <c s="72">
        <f>IF('[1]Leakage Tree Data'!AC25&lt;&gt;"",'[1]Leakage Tree Data'!AC25,"")</f>
      </c>
      <c s="72">
        <f>IF('[1]Leakage Tree Data'!AD25&lt;&gt;"",'[1]Leakage Tree Data'!AD25,"")</f>
        <v>-3.47522184568417</v>
      </c>
      <c s="72">
        <f>IF('[1]Leakage Tree Data'!AE25&lt;&gt;"",'[1]Leakage Tree Data'!AE25,"")</f>
      </c>
      <c s="73">
        <f t="shared" si="4"/>
      </c>
      <c s="73">
        <f t="shared" si="5"/>
      </c>
      <c s="73">
        <f t="shared" si="6"/>
      </c>
      <c s="73">
        <f t="shared" si="7"/>
      </c>
      <c s="74">
        <f t="shared" si="8"/>
      </c>
      <c s="74">
        <f t="shared" si="9"/>
      </c>
      <c s="69" t="str">
        <f t="shared" si="0"/>
        <v>Total US - Your Dollar Store w/ More</v>
      </c>
      <c s="69" t="str">
        <f t="shared" si="1"/>
        <v>Total US - Dollar</v>
      </c>
      <c s="77"/>
    </row>
    <row r="127" spans="1:141" ht="15">
      <c r="A1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127,$AL$8:$AL$15,1,FALSE))=TRUE,IF(AND(CV127=CW127,CV127&lt;&gt;"",DI$111&lt;&gt;"",DK127&lt;&gt;""),IF(CW$101="Y",DK127-IF(ISERROR(VLOOKUP(CV127,$CA$113:$DK$300,37,FALSE))=TRUE,0,IF(VLOOKUP(CV127,$CA$113:$DK$300,37,FALSE)="",0,VLOOKUP(CV127,$CA$113:$DK$300,37,FALSE))),DK127-IF(AND(CW$102="Y",CV127=$CW$111),DI$111,0)),""),"")</f>
        <v>47367397.3753591</v>
      </c>
      <c s="76">
        <f>IF(ISERROR(VLOOKUP(CV127,$AL$8:$AL$15,1,FALSE))=TRUE,IF(CB127&lt;&gt;"",IF(CB127&gt;0,IF(Z$4&lt;&gt;"",MIN(4,RANK(CB127,$CB$111:$CB$300)),RANK(CB127,$CB$111:$CB$300)),""),""),"")</f>
        <v>4</v>
      </c>
      <c s="75">
        <f>IF(ISERROR(VLOOKUP(CV127,$AL$8:$AL$15,1,FALSE))=TRUE,IF(AND(ISERROR(FIND("NeighMkt",$CX$102))=FALSE,LEFT($CW$111,10)="ALL OUTLET",$CA127&lt;&gt;"",DK127&lt;&gt;""),"",IF(AND($CV127&lt;&gt;$CW127,$CW127=CD$110),$DK127,"")),"")</f>
      </c>
      <c s="76">
        <f>IF(ISERROR(VLOOKUP(CV127,$AL$8:$AL$15,1,FALSE))=TRUE,IF(CD127&lt;&gt;"",IF(CD127&gt;0,RANK(CD127,$CD$111:$CD$300),""),""),"")</f>
      </c>
      <c s="75">
        <f>IF(ISERROR(VLOOKUP(CV127,$AL$8:$AL$15,1,FALSE))=TRUE,IF(AND(ISERROR(FIND("NeighMkt",$CX$102))=FALSE,LEFT($CW$111,10)="ALL OUTLET",$CA127&lt;&gt;"",DK127&lt;&gt;""),"",IF(AND($CV127&lt;&gt;$CW127,$CW127=CF$110),$DK127,"")),"")</f>
      </c>
      <c s="76">
        <f>IF(ISERROR(VLOOKUP(CV127,$AL$8:$AL$15,1,FALSE))=TRUE,IF(CF127&lt;&gt;"",IF(CF127&gt;0,RANK(CF127,$CF$111:$CF$300),""),""),"")</f>
      </c>
      <c s="75">
        <f>IF(ISERROR(VLOOKUP(CV127,$AL$8:$AL$15,1,FALSE))=TRUE,IF(AND(ISERROR(FIND("NeighMkt",$CX$102))=FALSE,LEFT($CW$111,10)="ALL OUTLET",$CA127&lt;&gt;"",DK127&lt;&gt;""),"",IF(AND($CV127&lt;&gt;$CW127,$CW127=CH$110),$DK127,"")),"")</f>
      </c>
      <c s="76">
        <f>IF(ISERROR(VLOOKUP(CV127,$AL$8:$AL$15,1,FALSE))=TRUE,IF(CH127&lt;&gt;"",IF(CH127&gt;0,RANK(CH127,$CH$111:$CH$300),""),""),"")</f>
      </c>
      <c s="75">
        <f>IF(ISERROR(VLOOKUP(CV127,$AL$8:$AL$15,1,FALSE))=TRUE,IF(AND(ISERROR(FIND("NeighMkt",$CX$102))=FALSE,LEFT($CW$111,10)="ALL OUTLET",$CA127&lt;&gt;"",DK127&lt;&gt;""),"",IF($Z$4="",IF(AND($CV127&lt;&gt;$CW127,$CW127=CJ$110),$DK127,""),IF(AND($CV127&lt;&gt;$CW127,$CW127&lt;&gt;CD$110,$CW127&lt;&gt;CF$110,$CW127&lt;&gt;CH$110,$CW127&lt;&gt;$CV$111),$DK127,""))),"")</f>
      </c>
      <c s="76">
        <f>IF(ISERROR(VLOOKUP(CV127,$AL$8:$AL$15,1,FALSE))=TRUE,IF(CJ127&lt;&gt;"",IF(CJ127&gt;0,RANK(CJ127,$CJ$111:$CJ$300),""),""),"")</f>
      </c>
      <c s="75">
        <f>IF(ISERROR(VLOOKUP(CV127,$AL$8:$AL$15,1,FALSE))=TRUE,IF(AND(CV127=CW127,CV127&lt;&gt;"",DJ127&lt;&gt;""),IF(AND(ISERROR(FIND("NeighMkt",$CX$102))=FALSE,LEFT($CW$111,10)="ALL OUTLET"),DJ127-IF(ISERROR(VLOOKUP(CV127,$CA$113:$DK$300,36,FALSE))=TRUE,0,IF(VLOOKUP(CV127,$CA$113:$DK$300,36,FALSE)="",0,VLOOKUP(CV127,$CA$113:$DK$300,36,FALSE))),DJ127),""),"")</f>
        <v>106307475.063995</v>
      </c>
      <c s="76">
        <f>IF(ISERROR(VLOOKUP(CV127,$AL$8:$AL$15,1,FALSE))=TRUE,IF(CL127&lt;&gt;"",IF(CL127&gt;0,IF($Z$4&lt;&gt;"",MIN(4,RANK(CL127,$CL$111:$CL$300)),RANK(CL127,$CL$111:$CL$300)),""),""),"")</f>
        <v>4</v>
      </c>
      <c s="75">
        <f>IF(ISERROR(VLOOKUP(CV127,$AL$8:$AL$15,1,FALSE))=TRUE,IF(AND(ISERROR(FIND("NeighMkt",$CX$102))=FALSE,LEFT($CW$111,10)="ALL OUTLET",$CA127&lt;&gt;"",DJ127&lt;&gt;""),"",IF(AND($CV127&lt;&gt;$CW127,$CW127=CN$110),$DJ127,"")),"")</f>
      </c>
      <c s="76">
        <f>IF(ISERROR(VLOOKUP(CV127,$AL$8:$AL$15,1,FALSE))=TRUE,IF(CN127&lt;&gt;"",IF(CN127&gt;0,RANK(CN127,$CN$111:$CN$300),""),""),"")</f>
      </c>
      <c s="75">
        <f>IF(ISERROR(VLOOKUP(CV127,$AL$8:$AL$15,1,FALSE))=TRUE,IF(AND(ISERROR(FIND("NeighMkt",$CX$102))=FALSE,LEFT($CW$111,10)="ALL OUTLET",$CA127&lt;&gt;"",DJ127&lt;&gt;""),"",IF(AND($CV127&lt;&gt;$CW127,$CW127=CP$110),$DJ127,"")),"")</f>
      </c>
      <c s="76">
        <f>IF(ISERROR(VLOOKUP(CV127,$AL$8:$AL$15,1,FALSE))=TRUE,IF(CP127&lt;&gt;"",IF(CP127&gt;0,RANK(CP127,$CP$111:$CP$300),""),""),"")</f>
      </c>
      <c s="75">
        <f>IF(ISERROR(VLOOKUP(CV127,$AL$8:$AL$15,1,FALSE))=TRUE,IF(AND(ISERROR(FIND("NeighMkt",$CX$102))=FALSE,LEFT($CW$111,10)="ALL OUTLET",$CA127&lt;&gt;"",DJ127&lt;&gt;""),"",IF(AND($CV127&lt;&gt;$CW127,$CW127=CR$110),$DJ127,"")),"")</f>
      </c>
      <c s="76">
        <f>IF(ISERROR(VLOOKUP(CV127,$AL$8:$AL$15,1,FALSE))=TRUE,IF(CR127&lt;&gt;"",IF(CR127&gt;0,RANK(CR127,$CR$111:$CR$300),""),""),"")</f>
      </c>
      <c s="75">
        <f>IF(ISERROR(VLOOKUP(CV127,$AL$8:$AL$15,1,FALSE))=TRUE,IF(AND(ISERROR(FIND("NeighMkt",$CX$102))=FALSE,LEFT($CW$111,10)="ALL OUTLET",$CA127&lt;&gt;"",DJ127&lt;&gt;""),"",IF($Z$4="",IF(AND($CV127&lt;&gt;$CW127,$CW127=CT$110),$DJ127,""),IF(AND($CV127&lt;&gt;$CW127,$CW127&lt;&gt;CN$110,$CW127&lt;&gt;CP$110,$CW127&lt;&gt;CR$110,$CW127&lt;&gt;$CV$111),$DJ127,""))),"")</f>
      </c>
      <c s="76">
        <f>IF(ISERROR(VLOOKUP(CV127,$AL$8:$AL$15,1,FALSE))=TRUE,IF(CT127&lt;&gt;"",IF(CT127&gt;0,RANK(CT127,$CT$111:$CT$300),""),""),"")</f>
      </c>
      <c s="65" t="str">
        <f t="shared" si="2"/>
        <v>Drug</v>
      </c>
      <c s="65" t="str">
        <f t="shared" si="3"/>
        <v>Drug</v>
      </c>
      <c s="72" t="str">
        <f>IF('[1]Leakage Tree Data'!A26&lt;&gt;"",'[1]Leakage Tree Data'!A26,"")</f>
        <v>Total US - Drug</v>
      </c>
      <c s="72" t="str">
        <f>IF('[1]Leakage Tree Data'!B26&lt;&gt;"",'[1]Leakage Tree Data'!B26,"")</f>
        <v>Total US - Drug</v>
      </c>
      <c s="72">
        <f>IF('[1]Leakage Tree Data'!C26&lt;&gt;"",'[1]Leakage Tree Data'!C26,"")</f>
        <v>121171760.292236</v>
      </c>
      <c s="72">
        <f>IF('[1]Leakage Tree Data'!D26&lt;&gt;"",'[1]Leakage Tree Data'!D26,"")</f>
        <v>85682067.2716064</v>
      </c>
      <c s="72">
        <f>IF('[1]Leakage Tree Data'!E26&lt;&gt;"",'[1]Leakage Tree Data'!E26,"")</f>
        <v>70.7112507608724</v>
      </c>
      <c s="72">
        <f>IF('[1]Leakage Tree Data'!F26&lt;&gt;"",'[1]Leakage Tree Data'!F26,"")</f>
        <v>35489693.0206299</v>
      </c>
      <c s="72">
        <f>IF('[1]Leakage Tree Data'!G26&lt;&gt;"",'[1]Leakage Tree Data'!G26,"")</f>
        <v>29.2887492391276</v>
      </c>
      <c s="72">
        <f>IF('[1]Leakage Tree Data'!H26&lt;&gt;"",'[1]Leakage Tree Data'!H26,"")</f>
        <v>61518209.9918823</v>
      </c>
      <c s="72" t="str">
        <f>IF('[1]Leakage Tree Data'!I26&lt;&gt;"",'[1]Leakage Tree Data'!I26,"")</f>
        <v>Drug</v>
      </c>
      <c s="72">
        <f>IF('[1]Leakage Tree Data'!J26&lt;&gt;"",'[1]Leakage Tree Data'!J26,"")</f>
        <v>82.7961856121306</v>
      </c>
      <c s="72">
        <f>IF('[1]Leakage Tree Data'!K26&lt;&gt;"",'[1]Leakage Tree Data'!K26,"")</f>
        <v>10583478.6617432</v>
      </c>
      <c s="72">
        <f>IF('[1]Leakage Tree Data'!L26&lt;&gt;"",'[1]Leakage Tree Data'!L26,"")</f>
        <v>47367397.3753591</v>
      </c>
      <c s="72">
        <f>IF('[1]Leakage Tree Data'!M26&lt;&gt;"",'[1]Leakage Tree Data'!M26,"")</f>
        <v>106307475.063995</v>
      </c>
      <c s="72">
        <f>IF('[1]Leakage Tree Data'!N26&lt;&gt;"",'[1]Leakage Tree Data'!N26,"")</f>
        <v>47367397.3753591</v>
      </c>
      <c s="72">
        <f>IF('[1]Leakage Tree Data'!O26&lt;&gt;"",'[1]Leakage Tree Data'!O26,"")</f>
        <v>21.3398305397005</v>
      </c>
      <c s="72">
        <f>IF('[1]Leakage Tree Data'!P26&lt;&gt;"",'[1]Leakage Tree Data'!P26,"")</f>
        <v>16222535.3232299</v>
      </c>
      <c s="72">
        <f>IF('[1]Leakage Tree Data'!Q26&lt;&gt;"",'[1]Leakage Tree Data'!Q26,"")</f>
      </c>
      <c s="72">
        <f>IF('[1]Leakage Tree Data'!R26&lt;&gt;"",'[1]Leakage Tree Data'!R26,"")</f>
        <v>1017625.85098267</v>
      </c>
      <c s="72">
        <f>IF('[1]Leakage Tree Data'!S26&lt;&gt;"",'[1]Leakage Tree Data'!S26,"")</f>
        <v>-2373564.65133667</v>
      </c>
      <c s="72">
        <f>IF('[1]Leakage Tree Data'!T26&lt;&gt;"",'[1]Leakage Tree Data'!T26,"")</f>
        <v>-2.5743105994782</v>
      </c>
      <c s="72">
        <f>IF('[1]Leakage Tree Data'!U26&lt;&gt;"",'[1]Leakage Tree Data'!U26,"")</f>
        <v>3391190.50231934</v>
      </c>
      <c s="72">
        <f>IF('[1]Leakage Tree Data'!V26&lt;&gt;"",'[1]Leakage Tree Data'!V26,"")</f>
        <v>2.5743105994782</v>
      </c>
      <c s="72">
        <f>IF('[1]Leakage Tree Data'!W26&lt;&gt;"",'[1]Leakage Tree Data'!W26,"")</f>
        <v>-1855949.2237854</v>
      </c>
      <c s="72">
        <f>IF('[1]Leakage Tree Data'!X26&lt;&gt;"",'[1]Leakage Tree Data'!X26,"")</f>
      </c>
      <c s="72">
        <f>IF('[1]Leakage Tree Data'!Y26&lt;&gt;"",'[1]Leakage Tree Data'!Y26,"")</f>
        <v>1.74665437338548</v>
      </c>
      <c s="72">
        <f>IF('[1]Leakage Tree Data'!Z26&lt;&gt;"",'[1]Leakage Tree Data'!Z26,"")</f>
        <v>-1426221.58312988</v>
      </c>
      <c s="72">
        <f>IF('[1]Leakage Tree Data'!AA26&lt;&gt;"",'[1]Leakage Tree Data'!AA26,"")</f>
        <v>-17468320.9703908</v>
      </c>
      <c s="72">
        <f>IF('[1]Leakage Tree Data'!AB26&lt;&gt;"",'[1]Leakage Tree Data'!AB26,"")</f>
        <v>-4738390.12012577</v>
      </c>
      <c s="72">
        <f>IF('[1]Leakage Tree Data'!AC26&lt;&gt;"",'[1]Leakage Tree Data'!AC26,"")</f>
        <v>-17468320.9703908</v>
      </c>
      <c s="72">
        <f>IF('[1]Leakage Tree Data'!AD26&lt;&gt;"",'[1]Leakage Tree Data'!AD26,"")</f>
        <v>-1.30012015982044</v>
      </c>
      <c s="72">
        <f>IF('[1]Leakage Tree Data'!AE26&lt;&gt;"",'[1]Leakage Tree Data'!AE26,"")</f>
      </c>
      <c s="73">
        <f t="shared" si="4"/>
        <v>106307475.063995</v>
      </c>
      <c s="73">
        <f t="shared" si="5"/>
        <v>47367397.3753591</v>
      </c>
      <c s="73">
        <f t="shared" si="6"/>
        <v>-4738390.12012577</v>
      </c>
      <c s="73">
        <f t="shared" si="7"/>
        <v>-17468320.9703908</v>
      </c>
      <c s="74">
        <f t="shared" si="8"/>
        <v>0.000214422385450115</v>
      </c>
      <c s="74">
        <f t="shared" si="9"/>
        <v>-0.0086017243641943</v>
      </c>
      <c s="69" t="str">
        <f t="shared" si="0"/>
        <v>Total US - Drug</v>
      </c>
      <c s="69" t="str">
        <f t="shared" si="1"/>
        <v>Total US - Drug</v>
      </c>
      <c s="77"/>
    </row>
    <row r="128" spans="1:141" ht="15">
      <c r="A1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128,$AL$8:$AL$15,1,FALSE))=TRUE,IF(AND(CV128=CW128,CV128&lt;&gt;"",DI$111&lt;&gt;"",DK128&lt;&gt;""),IF(CW$101="Y",DK128-IF(ISERROR(VLOOKUP(CV128,$CA$113:$DK$300,37,FALSE))=TRUE,0,IF(VLOOKUP(CV128,$CA$113:$DK$300,37,FALSE)="",0,VLOOKUP(CV128,$CA$113:$DK$300,37,FALSE))),DK128-IF(AND(CW$102="Y",CV128=$CW$111),DI$111,0)),""),"")</f>
      </c>
      <c s="76">
        <f>IF(ISERROR(VLOOKUP(CV128,$AL$8:$AL$15,1,FALSE))=TRUE,IF(CB128&lt;&gt;"",IF(CB128&gt;0,IF(Z$4&lt;&gt;"",MIN(4,RANK(CB128,$CB$111:$CB$300)),RANK(CB128,$CB$111:$CB$300)),""),""),"")</f>
      </c>
      <c s="75">
        <f>IF(ISERROR(VLOOKUP(CV128,$AL$8:$AL$15,1,FALSE))=TRUE,IF(AND(ISERROR(FIND("NeighMkt",$CX$102))=FALSE,LEFT($CW$111,10)="ALL OUTLET",$CA128&lt;&gt;"",DK128&lt;&gt;""),"",IF(AND($CV128&lt;&gt;$CW128,$CW128=CD$110),$DK128,"")),"")</f>
      </c>
      <c s="76">
        <f>IF(ISERROR(VLOOKUP(CV128,$AL$8:$AL$15,1,FALSE))=TRUE,IF(CD128&lt;&gt;"",IF(CD128&gt;0,RANK(CD128,$CD$111:$CD$300),""),""),"")</f>
      </c>
      <c s="75">
        <f>IF(ISERROR(VLOOKUP(CV128,$AL$8:$AL$15,1,FALSE))=TRUE,IF(AND(ISERROR(FIND("NeighMkt",$CX$102))=FALSE,LEFT($CW$111,10)="ALL OUTLET",$CA128&lt;&gt;"",DK128&lt;&gt;""),"",IF(AND($CV128&lt;&gt;$CW128,$CW128=CF$110),$DK128,"")),"")</f>
      </c>
      <c s="76">
        <f>IF(ISERROR(VLOOKUP(CV128,$AL$8:$AL$15,1,FALSE))=TRUE,IF(CF128&lt;&gt;"",IF(CF128&gt;0,RANK(CF128,$CF$111:$CF$300),""),""),"")</f>
      </c>
      <c s="75">
        <f>IF(ISERROR(VLOOKUP(CV128,$AL$8:$AL$15,1,FALSE))=TRUE,IF(AND(ISERROR(FIND("NeighMkt",$CX$102))=FALSE,LEFT($CW$111,10)="ALL OUTLET",$CA128&lt;&gt;"",DK128&lt;&gt;""),"",IF(AND($CV128&lt;&gt;$CW128,$CW128=CH$110),$DK128,"")),"")</f>
      </c>
      <c s="76">
        <f>IF(ISERROR(VLOOKUP(CV128,$AL$8:$AL$15,1,FALSE))=TRUE,IF(CH128&lt;&gt;"",IF(CH128&gt;0,RANK(CH128,$CH$111:$CH$300),""),""),"")</f>
      </c>
      <c s="75">
        <f>IF(ISERROR(VLOOKUP(CV128,$AL$8:$AL$15,1,FALSE))=TRUE,IF(AND(ISERROR(FIND("NeighMkt",$CX$102))=FALSE,LEFT($CW$111,10)="ALL OUTLET",$CA128&lt;&gt;"",DK128&lt;&gt;""),"",IF($Z$4="",IF(AND($CV128&lt;&gt;$CW128,$CW128=CJ$110),$DK128,""),IF(AND($CV128&lt;&gt;$CW128,$CW128&lt;&gt;CD$110,$CW128&lt;&gt;CF$110,$CW128&lt;&gt;CH$110,$CW128&lt;&gt;$CV$111),$DK128,""))),"")</f>
        <v>25834146.4397683</v>
      </c>
      <c s="76">
        <f>IF(ISERROR(VLOOKUP(CV128,$AL$8:$AL$15,1,FALSE))=TRUE,IF(CJ128&lt;&gt;"",IF(CJ128&gt;0,RANK(CJ128,$CJ$111:$CJ$300),""),""),"")</f>
        <v>1</v>
      </c>
      <c s="75">
        <f>IF(ISERROR(VLOOKUP(CV128,$AL$8:$AL$15,1,FALSE))=TRUE,IF(AND(CV128=CW128,CV128&lt;&gt;"",DJ128&lt;&gt;""),IF(AND(ISERROR(FIND("NeighMkt",$CX$102))=FALSE,LEFT($CW$111,10)="ALL OUTLET"),DJ128-IF(ISERROR(VLOOKUP(CV128,$CA$113:$DK$300,36,FALSE))=TRUE,0,IF(VLOOKUP(CV128,$CA$113:$DK$300,36,FALSE)="",0,VLOOKUP(CV128,$CA$113:$DK$300,36,FALSE))),DJ128),""),"")</f>
      </c>
      <c s="76">
        <f>IF(ISERROR(VLOOKUP(CV128,$AL$8:$AL$15,1,FALSE))=TRUE,IF(CL128&lt;&gt;"",IF(CL128&gt;0,IF($Z$4&lt;&gt;"",MIN(4,RANK(CL128,$CL$111:$CL$300)),RANK(CL128,$CL$111:$CL$300)),""),""),"")</f>
      </c>
      <c s="75">
        <f>IF(ISERROR(VLOOKUP(CV128,$AL$8:$AL$15,1,FALSE))=TRUE,IF(AND(ISERROR(FIND("NeighMkt",$CX$102))=FALSE,LEFT($CW$111,10)="ALL OUTLET",$CA128&lt;&gt;"",DJ128&lt;&gt;""),"",IF(AND($CV128&lt;&gt;$CW128,$CW128=CN$110),$DJ128,"")),"")</f>
      </c>
      <c s="76">
        <f>IF(ISERROR(VLOOKUP(CV128,$AL$8:$AL$15,1,FALSE))=TRUE,IF(CN128&lt;&gt;"",IF(CN128&gt;0,RANK(CN128,$CN$111:$CN$300),""),""),"")</f>
      </c>
      <c s="75">
        <f>IF(ISERROR(VLOOKUP(CV128,$AL$8:$AL$15,1,FALSE))=TRUE,IF(AND(ISERROR(FIND("NeighMkt",$CX$102))=FALSE,LEFT($CW$111,10)="ALL OUTLET",$CA128&lt;&gt;"",DJ128&lt;&gt;""),"",IF(AND($CV128&lt;&gt;$CW128,$CW128=CP$110),$DJ128,"")),"")</f>
      </c>
      <c s="76">
        <f>IF(ISERROR(VLOOKUP(CV128,$AL$8:$AL$15,1,FALSE))=TRUE,IF(CP128&lt;&gt;"",IF(CP128&gt;0,RANK(CP128,$CP$111:$CP$300),""),""),"")</f>
      </c>
      <c s="75">
        <f>IF(ISERROR(VLOOKUP(CV128,$AL$8:$AL$15,1,FALSE))=TRUE,IF(AND(ISERROR(FIND("NeighMkt",$CX$102))=FALSE,LEFT($CW$111,10)="ALL OUTLET",$CA128&lt;&gt;"",DJ128&lt;&gt;""),"",IF(AND($CV128&lt;&gt;$CW128,$CW128=CR$110),$DJ128,"")),"")</f>
      </c>
      <c s="76">
        <f>IF(ISERROR(VLOOKUP(CV128,$AL$8:$AL$15,1,FALSE))=TRUE,IF(CR128&lt;&gt;"",IF(CR128&gt;0,RANK(CR128,$CR$111:$CR$300),""),""),"")</f>
      </c>
      <c s="75">
        <f>IF(ISERROR(VLOOKUP(CV128,$AL$8:$AL$15,1,FALSE))=TRUE,IF(AND(ISERROR(FIND("NeighMkt",$CX$102))=FALSE,LEFT($CW$111,10)="ALL OUTLET",$CA128&lt;&gt;"",DJ128&lt;&gt;""),"",IF($Z$4="",IF(AND($CV128&lt;&gt;$CW128,$CW128=CT$110),$DJ128,""),IF(AND($CV128&lt;&gt;$CW128,$CW128&lt;&gt;CN$110,$CW128&lt;&gt;CP$110,$CW128&lt;&gt;CR$110,$CW128&lt;&gt;$CV$111),$DJ128,""))),"")</f>
        <v>49472203.9836292</v>
      </c>
      <c s="76">
        <f>IF(ISERROR(VLOOKUP(CV128,$AL$8:$AL$15,1,FALSE))=TRUE,IF(CT128&lt;&gt;"",IF(CT128&gt;0,RANK(CT128,$CT$111:$CT$300),""),""),"")</f>
        <v>1</v>
      </c>
      <c s="65" t="str">
        <f t="shared" si="2"/>
        <v>CVS</v>
      </c>
      <c s="65" t="str">
        <f t="shared" si="3"/>
        <v>Drug</v>
      </c>
      <c s="72" t="str">
        <f>IF('[1]Leakage Tree Data'!A27&lt;&gt;"",'[1]Leakage Tree Data'!A27,"")</f>
        <v>Total US - CVS</v>
      </c>
      <c s="72" t="str">
        <f>IF('[1]Leakage Tree Data'!B27&lt;&gt;"",'[1]Leakage Tree Data'!B27,"")</f>
        <v>Total US - Drug</v>
      </c>
      <c s="72">
        <f>IF('[1]Leakage Tree Data'!C27&lt;&gt;"",'[1]Leakage Tree Data'!C27,"")</f>
        <v>121171760.292236</v>
      </c>
      <c s="72">
        <f>IF('[1]Leakage Tree Data'!D27&lt;&gt;"",'[1]Leakage Tree Data'!D27,"")</f>
        <v>46992078.8173828</v>
      </c>
      <c s="72">
        <f>IF('[1]Leakage Tree Data'!E27&lt;&gt;"",'[1]Leakage Tree Data'!E27,"")</f>
        <v>38.7813783542052</v>
      </c>
      <c s="72">
        <f>IF('[1]Leakage Tree Data'!F27&lt;&gt;"",'[1]Leakage Tree Data'!F27,"")</f>
        <v>74179681.4748535</v>
      </c>
      <c s="72">
        <f>IF('[1]Leakage Tree Data'!G27&lt;&gt;"",'[1]Leakage Tree Data'!G27,"")</f>
        <v>61.2186216457948</v>
      </c>
      <c s="72">
        <f>IF('[1]Leakage Tree Data'!H27&lt;&gt;"",'[1]Leakage Tree Data'!H27,"")</f>
        <v>61518209.9918823</v>
      </c>
      <c s="72" t="str">
        <f>IF('[1]Leakage Tree Data'!I27&lt;&gt;"",'[1]Leakage Tree Data'!I27,"")</f>
        <v>Drug</v>
      </c>
      <c s="72">
        <f>IF('[1]Leakage Tree Data'!J27&lt;&gt;"",'[1]Leakage Tree Data'!J27,"")</f>
        <v>90.6808062709527</v>
      </c>
      <c s="72">
        <f>IF('[1]Leakage Tree Data'!K27&lt;&gt;"",'[1]Leakage Tree Data'!K27,"")</f>
        <v>5733001.16778564</v>
      </c>
      <c s="72">
        <f>IF('[1]Leakage Tree Data'!L27&lt;&gt;"",'[1]Leakage Tree Data'!L27,"")</f>
        <v>25834146.4397683</v>
      </c>
      <c s="72">
        <f>IF('[1]Leakage Tree Data'!M27&lt;&gt;"",'[1]Leakage Tree Data'!M27,"")</f>
        <v>49472203.9836292</v>
      </c>
      <c s="72">
        <f>IF('[1]Leakage Tree Data'!N27&lt;&gt;"",'[1]Leakage Tree Data'!N27,"")</f>
        <v>25834146.4397683</v>
      </c>
      <c s="72">
        <f>IF('[1]Leakage Tree Data'!O27&lt;&gt;"",'[1]Leakage Tree Data'!O27,"")</f>
        <v>19.981325212321</v>
      </c>
      <c s="72">
        <f>IF('[1]Leakage Tree Data'!P27&lt;&gt;"",'[1]Leakage Tree Data'!P27,"")</f>
        <v>8305391.72722789</v>
      </c>
      <c s="72">
        <f>IF('[1]Leakage Tree Data'!Q27&lt;&gt;"",'[1]Leakage Tree Data'!Q27,"")</f>
      </c>
      <c s="72">
        <f>IF('[1]Leakage Tree Data'!R27&lt;&gt;"",'[1]Leakage Tree Data'!R27,"")</f>
        <v>1017625.85098267</v>
      </c>
      <c s="72">
        <f>IF('[1]Leakage Tree Data'!S27&lt;&gt;"",'[1]Leakage Tree Data'!S27,"")</f>
        <v>-1693850.0737915</v>
      </c>
      <c s="72">
        <f>IF('[1]Leakage Tree Data'!T27&lt;&gt;"",'[1]Leakage Tree Data'!T27,"")</f>
        <v>-1.7381835548176</v>
      </c>
      <c s="72">
        <f>IF('[1]Leakage Tree Data'!U27&lt;&gt;"",'[1]Leakage Tree Data'!U27,"")</f>
        <v>2711475.92477417</v>
      </c>
      <c s="72">
        <f>IF('[1]Leakage Tree Data'!V27&lt;&gt;"",'[1]Leakage Tree Data'!V27,"")</f>
        <v>1.7381835548176</v>
      </c>
      <c s="72">
        <f>IF('[1]Leakage Tree Data'!W27&lt;&gt;"",'[1]Leakage Tree Data'!W27,"")</f>
        <v>-1855949.2237854</v>
      </c>
      <c s="72">
        <f>IF('[1]Leakage Tree Data'!X27&lt;&gt;"",'[1]Leakage Tree Data'!X27,"")</f>
      </c>
      <c s="72">
        <f>IF('[1]Leakage Tree Data'!Y27&lt;&gt;"",'[1]Leakage Tree Data'!Y27,"")</f>
        <v>1.73554086178549</v>
      </c>
      <c s="72">
        <f>IF('[1]Leakage Tree Data'!Z27&lt;&gt;"",'[1]Leakage Tree Data'!Z27,"")</f>
        <v>-1272843.93267822</v>
      </c>
      <c s="72">
        <f>IF('[1]Leakage Tree Data'!AA27&lt;&gt;"",'[1]Leakage Tree Data'!AA27,"")</f>
        <v>-10390962.2342439</v>
      </c>
      <c s="72">
        <f>IF('[1]Leakage Tree Data'!AB27&lt;&gt;"",'[1]Leakage Tree Data'!AB27,"")</f>
        <v>-6007077.55809784</v>
      </c>
      <c s="72">
        <f>IF('[1]Leakage Tree Data'!AC27&lt;&gt;"",'[1]Leakage Tree Data'!AC27,"")</f>
        <v>-10390962.2342439</v>
      </c>
      <c s="72">
        <f>IF('[1]Leakage Tree Data'!AD27&lt;&gt;"",'[1]Leakage Tree Data'!AD27,"")</f>
        <v>-2.57117337758373</v>
      </c>
      <c s="72">
        <f>IF('[1]Leakage Tree Data'!AE27&lt;&gt;"",'[1]Leakage Tree Data'!AE27,"")</f>
      </c>
      <c s="73">
        <f t="shared" si="4"/>
      </c>
      <c s="73">
        <f t="shared" si="5"/>
      </c>
      <c s="73">
        <f t="shared" si="6"/>
      </c>
      <c s="73">
        <f t="shared" si="7"/>
      </c>
      <c s="74">
        <f t="shared" si="8"/>
      </c>
      <c s="74">
        <f t="shared" si="9"/>
      </c>
      <c s="69" t="str">
        <f t="shared" si="0"/>
        <v>Total US - CVS</v>
      </c>
      <c s="69" t="str">
        <f t="shared" si="1"/>
        <v>Total US - Drug</v>
      </c>
      <c s="77"/>
    </row>
    <row r="129" spans="1:141" ht="15">
      <c r="A1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129,$AL$8:$AL$15,1,FALSE))=TRUE,IF(AND(CV129=CW129,CV129&lt;&gt;"",DI$111&lt;&gt;"",DK129&lt;&gt;""),IF(CW$101="Y",DK129-IF(ISERROR(VLOOKUP(CV129,$CA$113:$DK$300,37,FALSE))=TRUE,0,IF(VLOOKUP(CV129,$CA$113:$DK$300,37,FALSE)="",0,VLOOKUP(CV129,$CA$113:$DK$300,37,FALSE))),DK129-IF(AND(CW$102="Y",CV129=$CW$111),DI$111,0)),""),"")</f>
      </c>
      <c s="76">
        <f>IF(ISERROR(VLOOKUP(CV129,$AL$8:$AL$15,1,FALSE))=TRUE,IF(CB129&lt;&gt;"",IF(CB129&gt;0,IF(Z$4&lt;&gt;"",MIN(4,RANK(CB129,$CB$111:$CB$300)),RANK(CB129,$CB$111:$CB$300)),""),""),"")</f>
      </c>
      <c s="75">
        <f>IF(ISERROR(VLOOKUP(CV129,$AL$8:$AL$15,1,FALSE))=TRUE,IF(AND(ISERROR(FIND("NeighMkt",$CX$102))=FALSE,LEFT($CW$111,10)="ALL OUTLET",$CA129&lt;&gt;"",DK129&lt;&gt;""),"",IF(AND($CV129&lt;&gt;$CW129,$CW129=CD$110),$DK129,"")),"")</f>
      </c>
      <c s="76">
        <f>IF(ISERROR(VLOOKUP(CV129,$AL$8:$AL$15,1,FALSE))=TRUE,IF(CD129&lt;&gt;"",IF(CD129&gt;0,RANK(CD129,$CD$111:$CD$300),""),""),"")</f>
      </c>
      <c s="75">
        <f>IF(ISERROR(VLOOKUP(CV129,$AL$8:$AL$15,1,FALSE))=TRUE,IF(AND(ISERROR(FIND("NeighMkt",$CX$102))=FALSE,LEFT($CW$111,10)="ALL OUTLET",$CA129&lt;&gt;"",DK129&lt;&gt;""),"",IF(AND($CV129&lt;&gt;$CW129,$CW129=CF$110),$DK129,"")),"")</f>
      </c>
      <c s="76">
        <f>IF(ISERROR(VLOOKUP(CV129,$AL$8:$AL$15,1,FALSE))=TRUE,IF(CF129&lt;&gt;"",IF(CF129&gt;0,RANK(CF129,$CF$111:$CF$300),""),""),"")</f>
      </c>
      <c s="75">
        <f>IF(ISERROR(VLOOKUP(CV129,$AL$8:$AL$15,1,FALSE))=TRUE,IF(AND(ISERROR(FIND("NeighMkt",$CX$102))=FALSE,LEFT($CW$111,10)="ALL OUTLET",$CA129&lt;&gt;"",DK129&lt;&gt;""),"",IF(AND($CV129&lt;&gt;$CW129,$CW129=CH$110),$DK129,"")),"")</f>
      </c>
      <c s="76">
        <f>IF(ISERROR(VLOOKUP(CV129,$AL$8:$AL$15,1,FALSE))=TRUE,IF(CH129&lt;&gt;"",IF(CH129&gt;0,RANK(CH129,$CH$111:$CH$300),""),""),"")</f>
      </c>
      <c s="75">
        <f>IF(ISERROR(VLOOKUP(CV129,$AL$8:$AL$15,1,FALSE))=TRUE,IF(AND(ISERROR(FIND("NeighMkt",$CX$102))=FALSE,LEFT($CW$111,10)="ALL OUTLET",$CA129&lt;&gt;"",DK129&lt;&gt;""),"",IF($Z$4="",IF(AND($CV129&lt;&gt;$CW129,$CW129=CJ$110),$DK129,""),IF(AND($CV129&lt;&gt;$CW129,$CW129&lt;&gt;CD$110,$CW129&lt;&gt;CF$110,$CW129&lt;&gt;CH$110,$CW129&lt;&gt;$CV$111),$DK129,""))),"")</f>
      </c>
      <c s="76">
        <f>IF(ISERROR(VLOOKUP(CV129,$AL$8:$AL$15,1,FALSE))=TRUE,IF(CJ129&lt;&gt;"",IF(CJ129&gt;0,RANK(CJ129,$CJ$111:$CJ$300),""),""),"")</f>
      </c>
      <c s="75">
        <f>IF(ISERROR(VLOOKUP(CV129,$AL$8:$AL$15,1,FALSE))=TRUE,IF(AND(CV129=CW129,CV129&lt;&gt;"",DJ129&lt;&gt;""),IF(AND(ISERROR(FIND("NeighMkt",$CX$102))=FALSE,LEFT($CW$111,10)="ALL OUTLET"),DJ129-IF(ISERROR(VLOOKUP(CV129,$CA$113:$DK$300,36,FALSE))=TRUE,0,IF(VLOOKUP(CV129,$CA$113:$DK$300,36,FALSE)="",0,VLOOKUP(CV129,$CA$113:$DK$300,36,FALSE))),DJ129),""),"")</f>
      </c>
      <c s="76">
        <f>IF(ISERROR(VLOOKUP(CV129,$AL$8:$AL$15,1,FALSE))=TRUE,IF(CL129&lt;&gt;"",IF(CL129&gt;0,IF($Z$4&lt;&gt;"",MIN(4,RANK(CL129,$CL$111:$CL$300)),RANK(CL129,$CL$111:$CL$300)),""),""),"")</f>
      </c>
      <c s="75">
        <f>IF(ISERROR(VLOOKUP(CV129,$AL$8:$AL$15,1,FALSE))=TRUE,IF(AND(ISERROR(FIND("NeighMkt",$CX$102))=FALSE,LEFT($CW$111,10)="ALL OUTLET",$CA129&lt;&gt;"",DJ129&lt;&gt;""),"",IF(AND($CV129&lt;&gt;$CW129,$CW129=CN$110),$DJ129,"")),"")</f>
      </c>
      <c s="76">
        <f>IF(ISERROR(VLOOKUP(CV129,$AL$8:$AL$15,1,FALSE))=TRUE,IF(CN129&lt;&gt;"",IF(CN129&gt;0,RANK(CN129,$CN$111:$CN$300),""),""),"")</f>
      </c>
      <c s="75">
        <f>IF(ISERROR(VLOOKUP(CV129,$AL$8:$AL$15,1,FALSE))=TRUE,IF(AND(ISERROR(FIND("NeighMkt",$CX$102))=FALSE,LEFT($CW$111,10)="ALL OUTLET",$CA129&lt;&gt;"",DJ129&lt;&gt;""),"",IF(AND($CV129&lt;&gt;$CW129,$CW129=CP$110),$DJ129,"")),"")</f>
      </c>
      <c s="76">
        <f>IF(ISERROR(VLOOKUP(CV129,$AL$8:$AL$15,1,FALSE))=TRUE,IF(CP129&lt;&gt;"",IF(CP129&gt;0,RANK(CP129,$CP$111:$CP$300),""),""),"")</f>
      </c>
      <c s="75">
        <f>IF(ISERROR(VLOOKUP(CV129,$AL$8:$AL$15,1,FALSE))=TRUE,IF(AND(ISERROR(FIND("NeighMkt",$CX$102))=FALSE,LEFT($CW$111,10)="ALL OUTLET",$CA129&lt;&gt;"",DJ129&lt;&gt;""),"",IF(AND($CV129&lt;&gt;$CW129,$CW129=CR$110),$DJ129,"")),"")</f>
      </c>
      <c s="76">
        <f>IF(ISERROR(VLOOKUP(CV129,$AL$8:$AL$15,1,FALSE))=TRUE,IF(CR129&lt;&gt;"",IF(CR129&gt;0,RANK(CR129,$CR$111:$CR$300),""),""),"")</f>
      </c>
      <c s="75">
        <f>IF(ISERROR(VLOOKUP(CV129,$AL$8:$AL$15,1,FALSE))=TRUE,IF(AND(ISERROR(FIND("NeighMkt",$CX$102))=FALSE,LEFT($CW$111,10)="ALL OUTLET",$CA129&lt;&gt;"",DJ129&lt;&gt;""),"",IF($Z$4="",IF(AND($CV129&lt;&gt;$CW129,$CW129=CT$110),$DJ129,""),IF(AND($CV129&lt;&gt;$CW129,$CW129&lt;&gt;CN$110,$CW129&lt;&gt;CP$110,$CW129&lt;&gt;CR$110,$CW129&lt;&gt;$CV$111),$DJ129,""))),"")</f>
      </c>
      <c s="76">
        <f>IF(ISERROR(VLOOKUP(CV129,$AL$8:$AL$15,1,FALSE))=TRUE,IF(CT129&lt;&gt;"",IF(CT129&gt;0,RANK(CT129,$CT$111:$CT$300),""),""),"")</f>
      </c>
      <c s="65" t="str">
        <f t="shared" si="2"/>
        <v>Osco Drugs</v>
      </c>
      <c s="65" t="str">
        <f t="shared" si="3"/>
        <v>Drug</v>
      </c>
      <c s="72" t="str">
        <f>IF('[1]Leakage Tree Data'!A28&lt;&gt;"",'[1]Leakage Tree Data'!A28,"")</f>
        <v>Total US - Osco Drugs</v>
      </c>
      <c s="72" t="str">
        <f>IF('[1]Leakage Tree Data'!B28&lt;&gt;"",'[1]Leakage Tree Data'!B28,"")</f>
        <v>Total US - Drug</v>
      </c>
      <c s="72">
        <f>IF('[1]Leakage Tree Data'!C28&lt;&gt;"",'[1]Leakage Tree Data'!C28,"")</f>
        <v>121171760.292236</v>
      </c>
      <c s="72">
        <f>IF('[1]Leakage Tree Data'!D28&lt;&gt;"",'[1]Leakage Tree Data'!D28,"")</f>
        <v>326916.465148926</v>
      </c>
      <c s="72">
        <f>IF('[1]Leakage Tree Data'!E28&lt;&gt;"",'[1]Leakage Tree Data'!E28,"")</f>
        <v>0.269795919742755</v>
      </c>
      <c s="72">
        <f>IF('[1]Leakage Tree Data'!F28&lt;&gt;"",'[1]Leakage Tree Data'!F28,"")</f>
        <v>120844843.827087</v>
      </c>
      <c s="72">
        <f>IF('[1]Leakage Tree Data'!G28&lt;&gt;"",'[1]Leakage Tree Data'!G28,"")</f>
        <v>99.7302040802572</v>
      </c>
      <c s="72">
        <f>IF('[1]Leakage Tree Data'!H28&lt;&gt;"",'[1]Leakage Tree Data'!H28,"")</f>
        <v>61518209.9918823</v>
      </c>
      <c s="72" t="str">
        <f>IF('[1]Leakage Tree Data'!I28&lt;&gt;"",'[1]Leakage Tree Data'!I28,"")</f>
        <v>Drug</v>
      </c>
      <c s="72">
        <f>IF('[1]Leakage Tree Data'!J28&lt;&gt;"",'[1]Leakage Tree Data'!J28,"")</f>
      </c>
      <c s="72">
        <f>IF('[1]Leakage Tree Data'!K28&lt;&gt;"",'[1]Leakage Tree Data'!K28,"")</f>
      </c>
      <c s="72">
        <f>IF('[1]Leakage Tree Data'!L28&lt;&gt;"",'[1]Leakage Tree Data'!L28,"")</f>
      </c>
      <c s="72">
        <f>IF('[1]Leakage Tree Data'!M28&lt;&gt;"",'[1]Leakage Tree Data'!M28,"")</f>
      </c>
      <c s="72">
        <f>IF('[1]Leakage Tree Data'!N28&lt;&gt;"",'[1]Leakage Tree Data'!N28,"")</f>
      </c>
      <c s="72">
        <f>IF('[1]Leakage Tree Data'!O28&lt;&gt;"",'[1]Leakage Tree Data'!O28,"")</f>
      </c>
      <c s="72">
        <f>IF('[1]Leakage Tree Data'!P28&lt;&gt;"",'[1]Leakage Tree Data'!P28,"")</f>
      </c>
      <c s="72">
        <f>IF('[1]Leakage Tree Data'!Q28&lt;&gt;"",'[1]Leakage Tree Data'!Q28,"")</f>
      </c>
      <c s="72">
        <f>IF('[1]Leakage Tree Data'!R28&lt;&gt;"",'[1]Leakage Tree Data'!R28,"")</f>
        <v>1017625.85098267</v>
      </c>
      <c s="72">
        <f>IF('[1]Leakage Tree Data'!S28&lt;&gt;"",'[1]Leakage Tree Data'!S28,"")</f>
        <v>-64782.1588134766</v>
      </c>
      <c s="72">
        <f>IF('[1]Leakage Tree Data'!T28&lt;&gt;"",'[1]Leakage Tree Data'!T28,"")</f>
        <v>-0.0562008724474573</v>
      </c>
      <c s="72">
        <f>IF('[1]Leakage Tree Data'!U28&lt;&gt;"",'[1]Leakage Tree Data'!U28,"")</f>
        <v>1082408.00979614</v>
      </c>
      <c s="72">
        <f>IF('[1]Leakage Tree Data'!V28&lt;&gt;"",'[1]Leakage Tree Data'!V28,"")</f>
        <v>0.0562008724474481</v>
      </c>
      <c s="72">
        <f>IF('[1]Leakage Tree Data'!W28&lt;&gt;"",'[1]Leakage Tree Data'!W28,"")</f>
        <v>-1855949.2237854</v>
      </c>
      <c s="72">
        <f>IF('[1]Leakage Tree Data'!X28&lt;&gt;"",'[1]Leakage Tree Data'!X28,"")</f>
      </c>
      <c s="72">
        <f>IF('[1]Leakage Tree Data'!Y28&lt;&gt;"",'[1]Leakage Tree Data'!Y28,"")</f>
      </c>
      <c s="72">
        <f>IF('[1]Leakage Tree Data'!Z28&lt;&gt;"",'[1]Leakage Tree Data'!Z28,"")</f>
      </c>
      <c s="72">
        <f>IF('[1]Leakage Tree Data'!AA28&lt;&gt;"",'[1]Leakage Tree Data'!AA28,"")</f>
      </c>
      <c s="72">
        <f>IF('[1]Leakage Tree Data'!AB28&lt;&gt;"",'[1]Leakage Tree Data'!AB28,"")</f>
      </c>
      <c s="72">
        <f>IF('[1]Leakage Tree Data'!AC28&lt;&gt;"",'[1]Leakage Tree Data'!AC28,"")</f>
      </c>
      <c s="72">
        <f>IF('[1]Leakage Tree Data'!AD28&lt;&gt;"",'[1]Leakage Tree Data'!AD28,"")</f>
      </c>
      <c s="72">
        <f>IF('[1]Leakage Tree Data'!AE28&lt;&gt;"",'[1]Leakage Tree Data'!AE28,"")</f>
      </c>
      <c s="73">
        <f t="shared" si="4"/>
      </c>
      <c s="73">
        <f t="shared" si="5"/>
      </c>
      <c s="73">
        <f t="shared" si="6"/>
      </c>
      <c s="73">
        <f t="shared" si="7"/>
      </c>
      <c s="74">
        <f t="shared" si="8"/>
      </c>
      <c s="74">
        <f t="shared" si="9"/>
      </c>
      <c s="69" t="str">
        <f t="shared" si="0"/>
        <v>Total US - Osco Drugs</v>
      </c>
      <c s="69" t="str">
        <f t="shared" si="1"/>
        <v>Total US - Drug</v>
      </c>
      <c s="77"/>
    </row>
    <row r="130" spans="1:141" ht="15">
      <c r="A1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130,$AL$8:$AL$15,1,FALSE))=TRUE,IF(AND(CV130=CW130,CV130&lt;&gt;"",DI$111&lt;&gt;"",DK130&lt;&gt;""),IF(CW$101="Y",DK130-IF(ISERROR(VLOOKUP(CV130,$CA$113:$DK$300,37,FALSE))=TRUE,0,IF(VLOOKUP(CV130,$CA$113:$DK$300,37,FALSE)="",0,VLOOKUP(CV130,$CA$113:$DK$300,37,FALSE))),DK130-IF(AND(CW$102="Y",CV130=$CW$111),DI$111,0)),""),"")</f>
      </c>
      <c s="76">
        <f>IF(ISERROR(VLOOKUP(CV130,$AL$8:$AL$15,1,FALSE))=TRUE,IF(CB130&lt;&gt;"",IF(CB130&gt;0,IF(Z$4&lt;&gt;"",MIN(4,RANK(CB130,$CB$111:$CB$300)),RANK(CB130,$CB$111:$CB$300)),""),""),"")</f>
      </c>
      <c s="75">
        <f>IF(ISERROR(VLOOKUP(CV130,$AL$8:$AL$15,1,FALSE))=TRUE,IF(AND(ISERROR(FIND("NeighMkt",$CX$102))=FALSE,LEFT($CW$111,10)="ALL OUTLET",$CA130&lt;&gt;"",DK130&lt;&gt;""),"",IF(AND($CV130&lt;&gt;$CW130,$CW130=CD$110),$DK130,"")),"")</f>
      </c>
      <c s="76">
        <f>IF(ISERROR(VLOOKUP(CV130,$AL$8:$AL$15,1,FALSE))=TRUE,IF(CD130&lt;&gt;"",IF(CD130&gt;0,RANK(CD130,$CD$111:$CD$300),""),""),"")</f>
      </c>
      <c s="75">
        <f>IF(ISERROR(VLOOKUP(CV130,$AL$8:$AL$15,1,FALSE))=TRUE,IF(AND(ISERROR(FIND("NeighMkt",$CX$102))=FALSE,LEFT($CW$111,10)="ALL OUTLET",$CA130&lt;&gt;"",DK130&lt;&gt;""),"",IF(AND($CV130&lt;&gt;$CW130,$CW130=CF$110),$DK130,"")),"")</f>
      </c>
      <c s="76">
        <f>IF(ISERROR(VLOOKUP(CV130,$AL$8:$AL$15,1,FALSE))=TRUE,IF(CF130&lt;&gt;"",IF(CF130&gt;0,RANK(CF130,$CF$111:$CF$300),""),""),"")</f>
      </c>
      <c s="75">
        <f>IF(ISERROR(VLOOKUP(CV130,$AL$8:$AL$15,1,FALSE))=TRUE,IF(AND(ISERROR(FIND("NeighMkt",$CX$102))=FALSE,LEFT($CW$111,10)="ALL OUTLET",$CA130&lt;&gt;"",DK130&lt;&gt;""),"",IF(AND($CV130&lt;&gt;$CW130,$CW130=CH$110),$DK130,"")),"")</f>
      </c>
      <c s="76">
        <f>IF(ISERROR(VLOOKUP(CV130,$AL$8:$AL$15,1,FALSE))=TRUE,IF(CH130&lt;&gt;"",IF(CH130&gt;0,RANK(CH130,$CH$111:$CH$300),""),""),"")</f>
      </c>
      <c s="75">
        <f>IF(ISERROR(VLOOKUP(CV130,$AL$8:$AL$15,1,FALSE))=TRUE,IF(AND(ISERROR(FIND("NeighMkt",$CX$102))=FALSE,LEFT($CW$111,10)="ALL OUTLET",$CA130&lt;&gt;"",DK130&lt;&gt;""),"",IF($Z$4="",IF(AND($CV130&lt;&gt;$CW130,$CW130=CJ$110),$DK130,""),IF(AND($CV130&lt;&gt;$CW130,$CW130&lt;&gt;CD$110,$CW130&lt;&gt;CF$110,$CW130&lt;&gt;CH$110,$CW130&lt;&gt;$CV$111),$DK130,""))),"")</f>
        <v>6152656.05388069</v>
      </c>
      <c s="76">
        <f>IF(ISERROR(VLOOKUP(CV130,$AL$8:$AL$15,1,FALSE))=TRUE,IF(CJ130&lt;&gt;"",IF(CJ130&gt;0,RANK(CJ130,$CJ$111:$CJ$300),""),""),"")</f>
        <v>5</v>
      </c>
      <c s="75">
        <f>IF(ISERROR(VLOOKUP(CV130,$AL$8:$AL$15,1,FALSE))=TRUE,IF(AND(CV130=CW130,CV130&lt;&gt;"",DJ130&lt;&gt;""),IF(AND(ISERROR(FIND("NeighMkt",$CX$102))=FALSE,LEFT($CW$111,10)="ALL OUTLET"),DJ130-IF(ISERROR(VLOOKUP(CV130,$CA$113:$DK$300,36,FALSE))=TRUE,0,IF(VLOOKUP(CV130,$CA$113:$DK$300,36,FALSE)="",0,VLOOKUP(CV130,$CA$113:$DK$300,36,FALSE))),DJ130),""),"")</f>
      </c>
      <c s="76">
        <f>IF(ISERROR(VLOOKUP(CV130,$AL$8:$AL$15,1,FALSE))=TRUE,IF(CL130&lt;&gt;"",IF(CL130&gt;0,IF($Z$4&lt;&gt;"",MIN(4,RANK(CL130,$CL$111:$CL$300)),RANK(CL130,$CL$111:$CL$300)),""),""),"")</f>
      </c>
      <c s="75">
        <f>IF(ISERROR(VLOOKUP(CV130,$AL$8:$AL$15,1,FALSE))=TRUE,IF(AND(ISERROR(FIND("NeighMkt",$CX$102))=FALSE,LEFT($CW$111,10)="ALL OUTLET",$CA130&lt;&gt;"",DJ130&lt;&gt;""),"",IF(AND($CV130&lt;&gt;$CW130,$CW130=CN$110),$DJ130,"")),"")</f>
      </c>
      <c s="76">
        <f>IF(ISERROR(VLOOKUP(CV130,$AL$8:$AL$15,1,FALSE))=TRUE,IF(CN130&lt;&gt;"",IF(CN130&gt;0,RANK(CN130,$CN$111:$CN$300),""),""),"")</f>
      </c>
      <c s="75">
        <f>IF(ISERROR(VLOOKUP(CV130,$AL$8:$AL$15,1,FALSE))=TRUE,IF(AND(ISERROR(FIND("NeighMkt",$CX$102))=FALSE,LEFT($CW$111,10)="ALL OUTLET",$CA130&lt;&gt;"",DJ130&lt;&gt;""),"",IF(AND($CV130&lt;&gt;$CW130,$CW130=CP$110),$DJ130,"")),"")</f>
      </c>
      <c s="76">
        <f>IF(ISERROR(VLOOKUP(CV130,$AL$8:$AL$15,1,FALSE))=TRUE,IF(CP130&lt;&gt;"",IF(CP130&gt;0,RANK(CP130,$CP$111:$CP$300),""),""),"")</f>
      </c>
      <c s="75">
        <f>IF(ISERROR(VLOOKUP(CV130,$AL$8:$AL$15,1,FALSE))=TRUE,IF(AND(ISERROR(FIND("NeighMkt",$CX$102))=FALSE,LEFT($CW$111,10)="ALL OUTLET",$CA130&lt;&gt;"",DJ130&lt;&gt;""),"",IF(AND($CV130&lt;&gt;$CW130,$CW130=CR$110),$DJ130,"")),"")</f>
      </c>
      <c s="76">
        <f>IF(ISERROR(VLOOKUP(CV130,$AL$8:$AL$15,1,FALSE))=TRUE,IF(CR130&lt;&gt;"",IF(CR130&gt;0,RANK(CR130,$CR$111:$CR$300),""),""),"")</f>
      </c>
      <c s="75">
        <f>IF(ISERROR(VLOOKUP(CV130,$AL$8:$AL$15,1,FALSE))=TRUE,IF(AND(ISERROR(FIND("NeighMkt",$CX$102))=FALSE,LEFT($CW$111,10)="ALL OUTLET",$CA130&lt;&gt;"",DJ130&lt;&gt;""),"",IF($Z$4="",IF(AND($CV130&lt;&gt;$CW130,$CW130=CT$110),$DJ130,""),IF(AND($CV130&lt;&gt;$CW130,$CW130&lt;&gt;CN$110,$CW130&lt;&gt;CP$110,$CW130&lt;&gt;CR$110,$CW130&lt;&gt;$CV$111),$DJ130,""))),"")</f>
        <v>14359910.8831081</v>
      </c>
      <c s="76">
        <f>IF(ISERROR(VLOOKUP(CV130,$AL$8:$AL$15,1,FALSE))=TRUE,IF(CT130&lt;&gt;"",IF(CT130&gt;0,RANK(CT130,$CT$111:$CT$300),""),""),"")</f>
        <v>9</v>
      </c>
      <c s="65" t="str">
        <f t="shared" si="2"/>
        <v>Rite Aid</v>
      </c>
      <c s="65" t="str">
        <f t="shared" si="3"/>
        <v>Drug</v>
      </c>
      <c s="72" t="str">
        <f>IF('[1]Leakage Tree Data'!A29&lt;&gt;"",'[1]Leakage Tree Data'!A29,"")</f>
        <v>Total US - Rite Aid</v>
      </c>
      <c s="72" t="str">
        <f>IF('[1]Leakage Tree Data'!B29&lt;&gt;"",'[1]Leakage Tree Data'!B29,"")</f>
        <v>Total US - Drug</v>
      </c>
      <c s="72">
        <f>IF('[1]Leakage Tree Data'!C29&lt;&gt;"",'[1]Leakage Tree Data'!C29,"")</f>
        <v>121171760.292236</v>
      </c>
      <c s="72">
        <f>IF('[1]Leakage Tree Data'!D29&lt;&gt;"",'[1]Leakage Tree Data'!D29,"")</f>
        <v>21645759.9282837</v>
      </c>
      <c s="72">
        <f>IF('[1]Leakage Tree Data'!E29&lt;&gt;"",'[1]Leakage Tree Data'!E29,"")</f>
        <v>17.8637001526424</v>
      </c>
      <c s="72">
        <f>IF('[1]Leakage Tree Data'!F29&lt;&gt;"",'[1]Leakage Tree Data'!F29,"")</f>
        <v>99526000.3639526</v>
      </c>
      <c s="72">
        <f>IF('[1]Leakage Tree Data'!G29&lt;&gt;"",'[1]Leakage Tree Data'!G29,"")</f>
        <v>82.1362998473576</v>
      </c>
      <c s="72">
        <f>IF('[1]Leakage Tree Data'!H29&lt;&gt;"",'[1]Leakage Tree Data'!H29,"")</f>
        <v>61518209.9918823</v>
      </c>
      <c s="72" t="str">
        <f>IF('[1]Leakage Tree Data'!I29&lt;&gt;"",'[1]Leakage Tree Data'!I29,"")</f>
        <v>Drug</v>
      </c>
      <c s="72">
        <f>IF('[1]Leakage Tree Data'!J29&lt;&gt;"",'[1]Leakage Tree Data'!J29,"")</f>
        <v>97.308571589885</v>
      </c>
      <c s="72">
        <f>IF('[1]Leakage Tree Data'!K29&lt;&gt;"",'[1]Leakage Tree Data'!K29,"")</f>
        <v>1655718.58111572</v>
      </c>
      <c s="72">
        <f>IF('[1]Leakage Tree Data'!L29&lt;&gt;"",'[1]Leakage Tree Data'!L29,"")</f>
        <v>6152656.05388069</v>
      </c>
      <c s="72">
        <f>IF('[1]Leakage Tree Data'!M29&lt;&gt;"",'[1]Leakage Tree Data'!M29,"")</f>
        <v>14359910.8831081</v>
      </c>
      <c s="72">
        <f>IF('[1]Leakage Tree Data'!N29&lt;&gt;"",'[1]Leakage Tree Data'!N29,"")</f>
        <v>6152656.05388069</v>
      </c>
      <c s="72">
        <f>IF('[1]Leakage Tree Data'!O29&lt;&gt;"",'[1]Leakage Tree Data'!O29,"")</f>
        <v>14.2745278254724</v>
      </c>
      <c s="72">
        <f>IF('[1]Leakage Tree Data'!P29&lt;&gt;"",'[1]Leakage Tree Data'!P29,"")</f>
        <v>3746449.85615338</v>
      </c>
      <c s="72">
        <f>IF('[1]Leakage Tree Data'!Q29&lt;&gt;"",'[1]Leakage Tree Data'!Q29,"")</f>
      </c>
      <c s="72">
        <f>IF('[1]Leakage Tree Data'!R29&lt;&gt;"",'[1]Leakage Tree Data'!R29,"")</f>
        <v>1017625.85098267</v>
      </c>
      <c s="72">
        <f>IF('[1]Leakage Tree Data'!S29&lt;&gt;"",'[1]Leakage Tree Data'!S29,"")</f>
        <v>-1424736.62191772</v>
      </c>
      <c s="72">
        <f>IF('[1]Leakage Tree Data'!T29&lt;&gt;"",'[1]Leakage Tree Data'!T29,"")</f>
        <v>-1.33705116356068</v>
      </c>
      <c s="72">
        <f>IF('[1]Leakage Tree Data'!U29&lt;&gt;"",'[1]Leakage Tree Data'!U29,"")</f>
        <v>2442362.47290039</v>
      </c>
      <c s="72">
        <f>IF('[1]Leakage Tree Data'!V29&lt;&gt;"",'[1]Leakage Tree Data'!V29,"")</f>
        <v>1.33705116356067</v>
      </c>
      <c s="72">
        <f>IF('[1]Leakage Tree Data'!W29&lt;&gt;"",'[1]Leakage Tree Data'!W29,"")</f>
        <v>-1855949.2237854</v>
      </c>
      <c s="72">
        <f>IF('[1]Leakage Tree Data'!X29&lt;&gt;"",'[1]Leakage Tree Data'!X29,"")</f>
      </c>
      <c s="72">
        <f>IF('[1]Leakage Tree Data'!Y29&lt;&gt;"",'[1]Leakage Tree Data'!Y29,"")</f>
        <v>0.255831857775206</v>
      </c>
      <c s="72">
        <f>IF('[1]Leakage Tree Data'!Z29&lt;&gt;"",'[1]Leakage Tree Data'!Z29,"")</f>
        <v>-212082.833557129</v>
      </c>
      <c s="72">
        <f>IF('[1]Leakage Tree Data'!AA29&lt;&gt;"",'[1]Leakage Tree Data'!AA29,"")</f>
        <v>-1526271.36720848</v>
      </c>
      <c s="72">
        <f>IF('[1]Leakage Tree Data'!AB29&lt;&gt;"",'[1]Leakage Tree Data'!AB29,"")</f>
        <v>-1452433.9960146</v>
      </c>
      <c s="72">
        <f>IF('[1]Leakage Tree Data'!AC29&lt;&gt;"",'[1]Leakage Tree Data'!AC29,"")</f>
        <v>-1526271.36720848</v>
      </c>
      <c s="72">
        <f>IF('[1]Leakage Tree Data'!AD29&lt;&gt;"",'[1]Leakage Tree Data'!AD29,"")</f>
        <v>0.254595403053584</v>
      </c>
      <c s="72">
        <f>IF('[1]Leakage Tree Data'!AE29&lt;&gt;"",'[1]Leakage Tree Data'!AE29,"")</f>
      </c>
      <c s="73">
        <f t="shared" si="4"/>
      </c>
      <c s="73">
        <f t="shared" si="5"/>
      </c>
      <c s="73">
        <f t="shared" si="6"/>
      </c>
      <c s="73">
        <f t="shared" si="7"/>
      </c>
      <c s="74">
        <f t="shared" si="8"/>
      </c>
      <c s="74">
        <f t="shared" si="9"/>
      </c>
      <c s="69" t="str">
        <f t="shared" si="0"/>
        <v>Total US - Rite Aid</v>
      </c>
      <c s="69" t="str">
        <f t="shared" si="1"/>
        <v>Total US - Drug</v>
      </c>
      <c s="77"/>
    </row>
    <row r="131" spans="1:141" ht="15">
      <c r="A1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131,$AL$8:$AL$15,1,FALSE))=TRUE,IF(AND(CV131=CW131,CV131&lt;&gt;"",DI$111&lt;&gt;"",DK131&lt;&gt;""),IF(CW$101="Y",DK131-IF(ISERROR(VLOOKUP(CV131,$CA$113:$DK$300,37,FALSE))=TRUE,0,IF(VLOOKUP(CV131,$CA$113:$DK$300,37,FALSE)="",0,VLOOKUP(CV131,$CA$113:$DK$300,37,FALSE))),DK131-IF(AND(CW$102="Y",CV131=$CW$111),DI$111,0)),""),"")</f>
      </c>
      <c s="76">
        <f>IF(ISERROR(VLOOKUP(CV131,$AL$8:$AL$15,1,FALSE))=TRUE,IF(CB131&lt;&gt;"",IF(CB131&gt;0,IF(Z$4&lt;&gt;"",MIN(4,RANK(CB131,$CB$111:$CB$300)),RANK(CB131,$CB$111:$CB$300)),""),""),"")</f>
      </c>
      <c s="75">
        <f>IF(ISERROR(VLOOKUP(CV131,$AL$8:$AL$15,1,FALSE))=TRUE,IF(AND(ISERROR(FIND("NeighMkt",$CX$102))=FALSE,LEFT($CW$111,10)="ALL OUTLET",$CA131&lt;&gt;"",DK131&lt;&gt;""),"",IF(AND($CV131&lt;&gt;$CW131,$CW131=CD$110),$DK131,"")),"")</f>
      </c>
      <c s="76">
        <f>IF(ISERROR(VLOOKUP(CV131,$AL$8:$AL$15,1,FALSE))=TRUE,IF(CD131&lt;&gt;"",IF(CD131&gt;0,RANK(CD131,$CD$111:$CD$300),""),""),"")</f>
      </c>
      <c s="75">
        <f>IF(ISERROR(VLOOKUP(CV131,$AL$8:$AL$15,1,FALSE))=TRUE,IF(AND(ISERROR(FIND("NeighMkt",$CX$102))=FALSE,LEFT($CW$111,10)="ALL OUTLET",$CA131&lt;&gt;"",DK131&lt;&gt;""),"",IF(AND($CV131&lt;&gt;$CW131,$CW131=CF$110),$DK131,"")),"")</f>
      </c>
      <c s="76">
        <f>IF(ISERROR(VLOOKUP(CV131,$AL$8:$AL$15,1,FALSE))=TRUE,IF(CF131&lt;&gt;"",IF(CF131&gt;0,RANK(CF131,$CF$111:$CF$300),""),""),"")</f>
      </c>
      <c s="75">
        <f>IF(ISERROR(VLOOKUP(CV131,$AL$8:$AL$15,1,FALSE))=TRUE,IF(AND(ISERROR(FIND("NeighMkt",$CX$102))=FALSE,LEFT($CW$111,10)="ALL OUTLET",$CA131&lt;&gt;"",DK131&lt;&gt;""),"",IF(AND($CV131&lt;&gt;$CW131,$CW131=CH$110),$DK131,"")),"")</f>
      </c>
      <c s="76">
        <f>IF(ISERROR(VLOOKUP(CV131,$AL$8:$AL$15,1,FALSE))=TRUE,IF(CH131&lt;&gt;"",IF(CH131&gt;0,RANK(CH131,$CH$111:$CH$300),""),""),"")</f>
      </c>
      <c s="75">
        <f>IF(ISERROR(VLOOKUP(CV131,$AL$8:$AL$15,1,FALSE))=TRUE,IF(AND(ISERROR(FIND("NeighMkt",$CX$102))=FALSE,LEFT($CW$111,10)="ALL OUTLET",$CA131&lt;&gt;"",DK131&lt;&gt;""),"",IF($Z$4="",IF(AND($CV131&lt;&gt;$CW131,$CW131=CJ$110),$DK131,""),IF(AND($CV131&lt;&gt;$CW131,$CW131&lt;&gt;CD$110,$CW131&lt;&gt;CF$110,$CW131&lt;&gt;CH$110,$CW131&lt;&gt;$CV$111),$DK131,""))),"")</f>
        <v>14172125.6260567</v>
      </c>
      <c s="76">
        <f>IF(ISERROR(VLOOKUP(CV131,$AL$8:$AL$15,1,FALSE))=TRUE,IF(CJ131&lt;&gt;"",IF(CJ131&gt;0,RANK(CJ131,$CJ$111:$CJ$300),""),""),"")</f>
        <v>2</v>
      </c>
      <c s="75">
        <f>IF(ISERROR(VLOOKUP(CV131,$AL$8:$AL$15,1,FALSE))=TRUE,IF(AND(CV131=CW131,CV131&lt;&gt;"",DJ131&lt;&gt;""),IF(AND(ISERROR(FIND("NeighMkt",$CX$102))=FALSE,LEFT($CW$111,10)="ALL OUTLET"),DJ131-IF(ISERROR(VLOOKUP(CV131,$CA$113:$DK$300,36,FALSE))=TRUE,0,IF(VLOOKUP(CV131,$CA$113:$DK$300,36,FALSE)="",0,VLOOKUP(CV131,$CA$113:$DK$300,36,FALSE))),DJ131),""),"")</f>
      </c>
      <c s="76">
        <f>IF(ISERROR(VLOOKUP(CV131,$AL$8:$AL$15,1,FALSE))=TRUE,IF(CL131&lt;&gt;"",IF(CL131&gt;0,IF($Z$4&lt;&gt;"",MIN(4,RANK(CL131,$CL$111:$CL$300)),RANK(CL131,$CL$111:$CL$300)),""),""),"")</f>
      </c>
      <c s="75">
        <f>IF(ISERROR(VLOOKUP(CV131,$AL$8:$AL$15,1,FALSE))=TRUE,IF(AND(ISERROR(FIND("NeighMkt",$CX$102))=FALSE,LEFT($CW$111,10)="ALL OUTLET",$CA131&lt;&gt;"",DJ131&lt;&gt;""),"",IF(AND($CV131&lt;&gt;$CW131,$CW131=CN$110),$DJ131,"")),"")</f>
      </c>
      <c s="76">
        <f>IF(ISERROR(VLOOKUP(CV131,$AL$8:$AL$15,1,FALSE))=TRUE,IF(CN131&lt;&gt;"",IF(CN131&gt;0,RANK(CN131,$CN$111:$CN$300),""),""),"")</f>
      </c>
      <c s="75">
        <f>IF(ISERROR(VLOOKUP(CV131,$AL$8:$AL$15,1,FALSE))=TRUE,IF(AND(ISERROR(FIND("NeighMkt",$CX$102))=FALSE,LEFT($CW$111,10)="ALL OUTLET",$CA131&lt;&gt;"",DJ131&lt;&gt;""),"",IF(AND($CV131&lt;&gt;$CW131,$CW131=CP$110),$DJ131,"")),"")</f>
      </c>
      <c s="76">
        <f>IF(ISERROR(VLOOKUP(CV131,$AL$8:$AL$15,1,FALSE))=TRUE,IF(CP131&lt;&gt;"",IF(CP131&gt;0,RANK(CP131,$CP$111:$CP$300),""),""),"")</f>
      </c>
      <c s="75">
        <f>IF(ISERROR(VLOOKUP(CV131,$AL$8:$AL$15,1,FALSE))=TRUE,IF(AND(ISERROR(FIND("NeighMkt",$CX$102))=FALSE,LEFT($CW$111,10)="ALL OUTLET",$CA131&lt;&gt;"",DJ131&lt;&gt;""),"",IF(AND($CV131&lt;&gt;$CW131,$CW131=CR$110),$DJ131,"")),"")</f>
      </c>
      <c s="76">
        <f>IF(ISERROR(VLOOKUP(CV131,$AL$8:$AL$15,1,FALSE))=TRUE,IF(CR131&lt;&gt;"",IF(CR131&gt;0,RANK(CR131,$CR$111:$CR$300),""),""),"")</f>
      </c>
      <c s="75">
        <f>IF(ISERROR(VLOOKUP(CV131,$AL$8:$AL$15,1,FALSE))=TRUE,IF(AND(ISERROR(FIND("NeighMkt",$CX$102))=FALSE,LEFT($CW$111,10)="ALL OUTLET",$CA131&lt;&gt;"",DJ131&lt;&gt;""),"",IF($Z$4="",IF(AND($CV131&lt;&gt;$CW131,$CW131=CT$110),$DJ131,""),IF(AND($CV131&lt;&gt;$CW131,$CW131&lt;&gt;CN$110,$CW131&lt;&gt;CP$110,$CW131&lt;&gt;CR$110,$CW131&lt;&gt;$CV$111),$DJ131,""))),"")</f>
        <v>38607076.2041416</v>
      </c>
      <c s="76">
        <f>IF(ISERROR(VLOOKUP(CV131,$AL$8:$AL$15,1,FALSE))=TRUE,IF(CT131&lt;&gt;"",IF(CT131&gt;0,RANK(CT131,$CT$111:$CT$300),""),""),"")</f>
        <v>3</v>
      </c>
      <c s="65" t="str">
        <f t="shared" si="2"/>
        <v>Walgreens</v>
      </c>
      <c s="65" t="str">
        <f t="shared" si="3"/>
        <v>Drug</v>
      </c>
      <c s="72" t="str">
        <f>IF('[1]Leakage Tree Data'!A30&lt;&gt;"",'[1]Leakage Tree Data'!A30,"")</f>
        <v>Total US - Walgreens</v>
      </c>
      <c s="72" t="str">
        <f>IF('[1]Leakage Tree Data'!B30&lt;&gt;"",'[1]Leakage Tree Data'!B30,"")</f>
        <v>Total US - Drug</v>
      </c>
      <c s="72">
        <f>IF('[1]Leakage Tree Data'!C30&lt;&gt;"",'[1]Leakage Tree Data'!C30,"")</f>
        <v>121171760.292236</v>
      </c>
      <c s="72">
        <f>IF('[1]Leakage Tree Data'!D30&lt;&gt;"",'[1]Leakage Tree Data'!D30,"")</f>
        <v>55792649.0424805</v>
      </c>
      <c s="72">
        <f>IF('[1]Leakage Tree Data'!E30&lt;&gt;"",'[1]Leakage Tree Data'!E30,"")</f>
        <v>46.0442671691179</v>
      </c>
      <c s="72">
        <f>IF('[1]Leakage Tree Data'!F30&lt;&gt;"",'[1]Leakage Tree Data'!F30,"")</f>
        <v>65379111.2497559</v>
      </c>
      <c s="72">
        <f>IF('[1]Leakage Tree Data'!G30&lt;&gt;"",'[1]Leakage Tree Data'!G30,"")</f>
        <v>53.9557328308821</v>
      </c>
      <c s="72">
        <f>IF('[1]Leakage Tree Data'!H30&lt;&gt;"",'[1]Leakage Tree Data'!H30,"")</f>
        <v>61518209.9918823</v>
      </c>
      <c s="72" t="str">
        <f>IF('[1]Leakage Tree Data'!I30&lt;&gt;"",'[1]Leakage Tree Data'!I30,"")</f>
        <v>Drug</v>
      </c>
      <c s="72">
        <f>IF('[1]Leakage Tree Data'!J30&lt;&gt;"",'[1]Leakage Tree Data'!J30,"")</f>
        <v>92.0245546919681</v>
      </c>
      <c s="72">
        <f>IF('[1]Leakage Tree Data'!K30&lt;&gt;"",'[1]Leakage Tree Data'!K30,"")</f>
        <v>4906351.19238281</v>
      </c>
      <c s="72">
        <f>IF('[1]Leakage Tree Data'!L30&lt;&gt;"",'[1]Leakage Tree Data'!L30,"")</f>
        <v>14172125.6260567</v>
      </c>
      <c s="72">
        <f>IF('[1]Leakage Tree Data'!M30&lt;&gt;"",'[1]Leakage Tree Data'!M30,"")</f>
        <v>38607076.2041416</v>
      </c>
      <c s="72">
        <f>IF('[1]Leakage Tree Data'!N30&lt;&gt;"",'[1]Leakage Tree Data'!N30,"")</f>
        <v>14172125.6260567</v>
      </c>
      <c s="72">
        <f>IF('[1]Leakage Tree Data'!O30&lt;&gt;"",'[1]Leakage Tree Data'!O30,"")</f>
        <v>14.8284694509789</v>
      </c>
      <c s="72">
        <f>IF('[1]Leakage Tree Data'!P30&lt;&gt;"",'[1]Leakage Tree Data'!P30,"")</f>
        <v>7680634.88732753</v>
      </c>
      <c s="72">
        <f>IF('[1]Leakage Tree Data'!Q30&lt;&gt;"",'[1]Leakage Tree Data'!Q30,"")</f>
      </c>
      <c s="72">
        <f>IF('[1]Leakage Tree Data'!R30&lt;&gt;"",'[1]Leakage Tree Data'!R30,"")</f>
        <v>1017625.85098267</v>
      </c>
      <c s="72">
        <f>IF('[1]Leakage Tree Data'!S30&lt;&gt;"",'[1]Leakage Tree Data'!S30,"")</f>
        <v>-2063375.54284668</v>
      </c>
      <c s="72">
        <f>IF('[1]Leakage Tree Data'!T30&lt;&gt;"",'[1]Leakage Tree Data'!T30,"")</f>
        <v>-2.10723827376334</v>
      </c>
      <c s="72">
        <f>IF('[1]Leakage Tree Data'!U30&lt;&gt;"",'[1]Leakage Tree Data'!U30,"")</f>
        <v>3081001.39382935</v>
      </c>
      <c s="72">
        <f>IF('[1]Leakage Tree Data'!V30&lt;&gt;"",'[1]Leakage Tree Data'!V30,"")</f>
        <v>2.10723827376334</v>
      </c>
      <c s="72">
        <f>IF('[1]Leakage Tree Data'!W30&lt;&gt;"",'[1]Leakage Tree Data'!W30,"")</f>
        <v>-1855949.2237854</v>
      </c>
      <c s="72">
        <f>IF('[1]Leakage Tree Data'!X30&lt;&gt;"",'[1]Leakage Tree Data'!X30,"")</f>
      </c>
      <c s="72">
        <f>IF('[1]Leakage Tree Data'!Y30&lt;&gt;"",'[1]Leakage Tree Data'!Y30,"")</f>
        <v>0.315841143824159</v>
      </c>
      <c s="72">
        <f>IF('[1]Leakage Tree Data'!Z30&lt;&gt;"",'[1]Leakage Tree Data'!Z30,"")</f>
        <v>-348181.884643555</v>
      </c>
      <c s="72">
        <f>IF('[1]Leakage Tree Data'!AA30&lt;&gt;"",'[1]Leakage Tree Data'!AA30,"")</f>
        <v>-5439781.08112144</v>
      </c>
      <c s="72">
        <f>IF('[1]Leakage Tree Data'!AB30&lt;&gt;"",'[1]Leakage Tree Data'!AB30,"")</f>
        <v>2429147.44929504</v>
      </c>
      <c s="72">
        <f>IF('[1]Leakage Tree Data'!AC30&lt;&gt;"",'[1]Leakage Tree Data'!AC30,"")</f>
        <v>-5439781.08112144</v>
      </c>
      <c s="72">
        <f>IF('[1]Leakage Tree Data'!AD30&lt;&gt;"",'[1]Leakage Tree Data'!AD30,"")</f>
        <v>0.228574896951278</v>
      </c>
      <c s="72">
        <f>IF('[1]Leakage Tree Data'!AE30&lt;&gt;"",'[1]Leakage Tree Data'!AE30,"")</f>
      </c>
      <c s="73">
        <f t="shared" si="4"/>
      </c>
      <c s="73">
        <f t="shared" si="5"/>
      </c>
      <c s="73">
        <f t="shared" si="6"/>
      </c>
      <c s="73">
        <f t="shared" si="7"/>
      </c>
      <c s="74">
        <f t="shared" si="8"/>
      </c>
      <c s="74">
        <f t="shared" si="9"/>
      </c>
      <c s="69" t="str">
        <f t="shared" si="0"/>
        <v>Total US - Walgreens</v>
      </c>
      <c s="69" t="str">
        <f t="shared" si="1"/>
        <v>Total US - Drug</v>
      </c>
      <c s="77"/>
    </row>
    <row r="132" spans="1:141" ht="15">
      <c r="A1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132,$AL$8:$AL$15,1,FALSE))=TRUE,IF(AND(CV132=CW132,CV132&lt;&gt;"",DI$111&lt;&gt;"",DK132&lt;&gt;""),IF(CW$101="Y",DK132-IF(ISERROR(VLOOKUP(CV132,$CA$113:$DK$300,37,FALSE))=TRUE,0,IF(VLOOKUP(CV132,$CA$113:$DK$300,37,FALSE)="",0,VLOOKUP(CV132,$CA$113:$DK$300,37,FALSE))),DK132-IF(AND(CW$102="Y",CV132=$CW$111),DI$111,0)),""),"")</f>
        <v>181239767.421648</v>
      </c>
      <c s="76">
        <f>IF(ISERROR(VLOOKUP(CV132,$AL$8:$AL$15,1,FALSE))=TRUE,IF(CB132&lt;&gt;"",IF(CB132&gt;0,IF(Z$4&lt;&gt;"",MIN(4,RANK(CB132,$CB$111:$CB$300)),RANK(CB132,$CB$111:$CB$300)),""),""),"")</f>
        <v>1</v>
      </c>
      <c s="75">
        <f>IF(ISERROR(VLOOKUP(CV132,$AL$8:$AL$15,1,FALSE))=TRUE,IF(AND(ISERROR(FIND("NeighMkt",$CX$102))=FALSE,LEFT($CW$111,10)="ALL OUTLET",$CA132&lt;&gt;"",DK132&lt;&gt;""),"",IF(AND($CV132&lt;&gt;$CW132,$CW132=CD$110),$DK132,"")),"")</f>
      </c>
      <c s="76">
        <f>IF(ISERROR(VLOOKUP(CV132,$AL$8:$AL$15,1,FALSE))=TRUE,IF(CD132&lt;&gt;"",IF(CD132&gt;0,RANK(CD132,$CD$111:$CD$300),""),""),"")</f>
      </c>
      <c s="75">
        <f>IF(ISERROR(VLOOKUP(CV132,$AL$8:$AL$15,1,FALSE))=TRUE,IF(AND(ISERROR(FIND("NeighMkt",$CX$102))=FALSE,LEFT($CW$111,10)="ALL OUTLET",$CA132&lt;&gt;"",DK132&lt;&gt;""),"",IF(AND($CV132&lt;&gt;$CW132,$CW132=CF$110),$DK132,"")),"")</f>
      </c>
      <c s="76">
        <f>IF(ISERROR(VLOOKUP(CV132,$AL$8:$AL$15,1,FALSE))=TRUE,IF(CF132&lt;&gt;"",IF(CF132&gt;0,RANK(CF132,$CF$111:$CF$300),""),""),"")</f>
      </c>
      <c s="75">
        <f>IF(ISERROR(VLOOKUP(CV132,$AL$8:$AL$15,1,FALSE))=TRUE,IF(AND(ISERROR(FIND("NeighMkt",$CX$102))=FALSE,LEFT($CW$111,10)="ALL OUTLET",$CA132&lt;&gt;"",DK132&lt;&gt;""),"",IF(AND($CV132&lt;&gt;$CW132,$CW132=CH$110),$DK132,"")),"")</f>
      </c>
      <c s="76">
        <f>IF(ISERROR(VLOOKUP(CV132,$AL$8:$AL$15,1,FALSE))=TRUE,IF(CH132&lt;&gt;"",IF(CH132&gt;0,RANK(CH132,$CH$111:$CH$300),""),""),"")</f>
      </c>
      <c s="75">
        <f>IF(ISERROR(VLOOKUP(CV132,$AL$8:$AL$15,1,FALSE))=TRUE,IF(AND(ISERROR(FIND("NeighMkt",$CX$102))=FALSE,LEFT($CW$111,10)="ALL OUTLET",$CA132&lt;&gt;"",DK132&lt;&gt;""),"",IF($Z$4="",IF(AND($CV132&lt;&gt;$CW132,$CW132=CJ$110),$DK132,""),IF(AND($CV132&lt;&gt;$CW132,$CW132&lt;&gt;CD$110,$CW132&lt;&gt;CF$110,$CW132&lt;&gt;CH$110,$CW132&lt;&gt;$CV$111),$DK132,""))),"")</f>
      </c>
      <c s="76">
        <f>IF(ISERROR(VLOOKUP(CV132,$AL$8:$AL$15,1,FALSE))=TRUE,IF(CJ132&lt;&gt;"",IF(CJ132&gt;0,RANK(CJ132,$CJ$111:$CJ$300),""),""),"")</f>
      </c>
      <c s="75">
        <f>IF(ISERROR(VLOOKUP(CV132,$AL$8:$AL$15,1,FALSE))=TRUE,IF(AND(CV132=CW132,CV132&lt;&gt;"",DJ132&lt;&gt;""),IF(AND(ISERROR(FIND("NeighMkt",$CX$102))=FALSE,LEFT($CW$111,10)="ALL OUTLET"),DJ132-IF(ISERROR(VLOOKUP(CV132,$CA$113:$DK$300,36,FALSE))=TRUE,0,IF(VLOOKUP(CV132,$CA$113:$DK$300,36,FALSE)="",0,VLOOKUP(CV132,$CA$113:$DK$300,36,FALSE))),DJ132),""),"")</f>
        <v>610436804.760924</v>
      </c>
      <c s="76">
        <f>IF(ISERROR(VLOOKUP(CV132,$AL$8:$AL$15,1,FALSE))=TRUE,IF(CL132&lt;&gt;"",IF(CL132&gt;0,IF($Z$4&lt;&gt;"",MIN(4,RANK(CL132,$CL$111:$CL$300)),RANK(CL132,$CL$111:$CL$300)),""),""),"")</f>
        <v>1</v>
      </c>
      <c s="75">
        <f>IF(ISERROR(VLOOKUP(CV132,$AL$8:$AL$15,1,FALSE))=TRUE,IF(AND(ISERROR(FIND("NeighMkt",$CX$102))=FALSE,LEFT($CW$111,10)="ALL OUTLET",$CA132&lt;&gt;"",DJ132&lt;&gt;""),"",IF(AND($CV132&lt;&gt;$CW132,$CW132=CN$110),$DJ132,"")),"")</f>
      </c>
      <c s="76">
        <f>IF(ISERROR(VLOOKUP(CV132,$AL$8:$AL$15,1,FALSE))=TRUE,IF(CN132&lt;&gt;"",IF(CN132&gt;0,RANK(CN132,$CN$111:$CN$300),""),""),"")</f>
      </c>
      <c s="75">
        <f>IF(ISERROR(VLOOKUP(CV132,$AL$8:$AL$15,1,FALSE))=TRUE,IF(AND(ISERROR(FIND("NeighMkt",$CX$102))=FALSE,LEFT($CW$111,10)="ALL OUTLET",$CA132&lt;&gt;"",DJ132&lt;&gt;""),"",IF(AND($CV132&lt;&gt;$CW132,$CW132=CP$110),$DJ132,"")),"")</f>
      </c>
      <c s="76">
        <f>IF(ISERROR(VLOOKUP(CV132,$AL$8:$AL$15,1,FALSE))=TRUE,IF(CP132&lt;&gt;"",IF(CP132&gt;0,RANK(CP132,$CP$111:$CP$300),""),""),"")</f>
      </c>
      <c s="75">
        <f>IF(ISERROR(VLOOKUP(CV132,$AL$8:$AL$15,1,FALSE))=TRUE,IF(AND(ISERROR(FIND("NeighMkt",$CX$102))=FALSE,LEFT($CW$111,10)="ALL OUTLET",$CA132&lt;&gt;"",DJ132&lt;&gt;""),"",IF(AND($CV132&lt;&gt;$CW132,$CW132=CR$110),$DJ132,"")),"")</f>
      </c>
      <c s="76">
        <f>IF(ISERROR(VLOOKUP(CV132,$AL$8:$AL$15,1,FALSE))=TRUE,IF(CR132&lt;&gt;"",IF(CR132&gt;0,RANK(CR132,$CR$111:$CR$300),""),""),"")</f>
      </c>
      <c s="75">
        <f>IF(ISERROR(VLOOKUP(CV132,$AL$8:$AL$15,1,FALSE))=TRUE,IF(AND(ISERROR(FIND("NeighMkt",$CX$102))=FALSE,LEFT($CW$111,10)="ALL OUTLET",$CA132&lt;&gt;"",DJ132&lt;&gt;""),"",IF($Z$4="",IF(AND($CV132&lt;&gt;$CW132,$CW132=CT$110),$DJ132,""),IF(AND($CV132&lt;&gt;$CW132,$CW132&lt;&gt;CN$110,$CW132&lt;&gt;CP$110,$CW132&lt;&gt;CR$110,$CW132&lt;&gt;$CV$111),$DJ132,""))),"")</f>
      </c>
      <c s="76">
        <f>IF(ISERROR(VLOOKUP(CV132,$AL$8:$AL$15,1,FALSE))=TRUE,IF(CT132&lt;&gt;"",IF(CT132&gt;0,RANK(CT132,$CT$111:$CT$300),""),""),"")</f>
      </c>
      <c s="65" t="str">
        <f t="shared" si="2"/>
        <v>GroceryX</v>
      </c>
      <c s="65" t="str">
        <f t="shared" si="3"/>
        <v>GroceryX</v>
      </c>
      <c s="72" t="str">
        <f>IF('[1]Leakage Tree Data'!A31&lt;&gt;"",'[1]Leakage Tree Data'!A31,"")</f>
        <v>Total US - GroceryX</v>
      </c>
      <c s="72" t="str">
        <f>IF('[1]Leakage Tree Data'!B31&lt;&gt;"",'[1]Leakage Tree Data'!B31,"")</f>
        <v>Total US - GroceryX</v>
      </c>
      <c s="72">
        <f>IF('[1]Leakage Tree Data'!C31&lt;&gt;"",'[1]Leakage Tree Data'!C31,"")</f>
        <v>121171760.292236</v>
      </c>
      <c s="72">
        <f>IF('[1]Leakage Tree Data'!D31&lt;&gt;"",'[1]Leakage Tree Data'!D31,"")</f>
        <v>119062654.327881</v>
      </c>
      <c s="72">
        <f>IF('[1]Leakage Tree Data'!E31&lt;&gt;"",'[1]Leakage Tree Data'!E31,"")</f>
        <v>98.2594080012795</v>
      </c>
      <c s="72">
        <f>IF('[1]Leakage Tree Data'!F31&lt;&gt;"",'[1]Leakage Tree Data'!F31,"")</f>
        <v>2109105.96435547</v>
      </c>
      <c s="72">
        <f>IF('[1]Leakage Tree Data'!G31&lt;&gt;"",'[1]Leakage Tree Data'!G31,"")</f>
        <v>1.74059199872052</v>
      </c>
      <c s="72">
        <f>IF('[1]Leakage Tree Data'!H31&lt;&gt;"",'[1]Leakage Tree Data'!H31,"")</f>
        <v>61518209.9918823</v>
      </c>
      <c s="72" t="str">
        <f>IF('[1]Leakage Tree Data'!I31&lt;&gt;"",'[1]Leakage Tree Data'!I31,"")</f>
        <v>GroceryX</v>
      </c>
      <c s="72">
        <f>IF('[1]Leakage Tree Data'!J31&lt;&gt;"",'[1]Leakage Tree Data'!J31,"")</f>
        <v>40.5833690104298</v>
      </c>
      <c s="72">
        <f>IF('[1]Leakage Tree Data'!K31&lt;&gt;"",'[1]Leakage Tree Data'!K31,"")</f>
        <v>36552047.8222656</v>
      </c>
      <c s="72">
        <f>IF('[1]Leakage Tree Data'!L31&lt;&gt;"",'[1]Leakage Tree Data'!L31,"")</f>
        <v>181239767.421648</v>
      </c>
      <c s="72">
        <f>IF('[1]Leakage Tree Data'!M31&lt;&gt;"",'[1]Leakage Tree Data'!M31,"")</f>
        <v>610436804.760924</v>
      </c>
      <c s="72">
        <f>IF('[1]Leakage Tree Data'!N31&lt;&gt;"",'[1]Leakage Tree Data'!N31,"")</f>
        <v>181239767.421648</v>
      </c>
      <c s="72">
        <f>IF('[1]Leakage Tree Data'!O31&lt;&gt;"",'[1]Leakage Tree Data'!O31,"")</f>
        <v>60.1775747378468</v>
      </c>
      <c s="72">
        <f>IF('[1]Leakage Tree Data'!P31&lt;&gt;"",'[1]Leakage Tree Data'!P31,"")</f>
        <v>31214209.0877407</v>
      </c>
      <c s="72">
        <f>IF('[1]Leakage Tree Data'!Q31&lt;&gt;"",'[1]Leakage Tree Data'!Q31,"")</f>
      </c>
      <c s="72">
        <f>IF('[1]Leakage Tree Data'!R31&lt;&gt;"",'[1]Leakage Tree Data'!R31,"")</f>
        <v>1017625.85098267</v>
      </c>
      <c s="72">
        <f>IF('[1]Leakage Tree Data'!S31&lt;&gt;"",'[1]Leakage Tree Data'!S31,"")</f>
        <v>689204.991668701</v>
      </c>
      <c s="72">
        <f>IF('[1]Leakage Tree Data'!T31&lt;&gt;"",'[1]Leakage Tree Data'!T31,"")</f>
        <v>-0.258591305758827</v>
      </c>
      <c s="72">
        <f>IF('[1]Leakage Tree Data'!U31&lt;&gt;"",'[1]Leakage Tree Data'!U31,"")</f>
        <v>328420.859313965</v>
      </c>
      <c s="72">
        <f>IF('[1]Leakage Tree Data'!V31&lt;&gt;"",'[1]Leakage Tree Data'!V31,"")</f>
        <v>0.258591305758827</v>
      </c>
      <c s="72">
        <f>IF('[1]Leakage Tree Data'!W31&lt;&gt;"",'[1]Leakage Tree Data'!W31,"")</f>
        <v>-1855949.2237854</v>
      </c>
      <c s="72">
        <f>IF('[1]Leakage Tree Data'!X31&lt;&gt;"",'[1]Leakage Tree Data'!X31,"")</f>
      </c>
      <c s="72">
        <f>IF('[1]Leakage Tree Data'!Y31&lt;&gt;"",'[1]Leakage Tree Data'!Y31,"")</f>
        <v>2.8854638475359</v>
      </c>
      <c s="72">
        <f>IF('[1]Leakage Tree Data'!Z31&lt;&gt;"",'[1]Leakage Tree Data'!Z31,"")</f>
        <v>-2931380.95449829</v>
      </c>
      <c s="72">
        <f>IF('[1]Leakage Tree Data'!AA31&lt;&gt;"",'[1]Leakage Tree Data'!AA31,"")</f>
        <v>-55680439.4890461</v>
      </c>
      <c s="72">
        <f>IF('[1]Leakage Tree Data'!AB31&lt;&gt;"",'[1]Leakage Tree Data'!AB31,"")</f>
        <v>-63072569.2734518</v>
      </c>
      <c s="72">
        <f>IF('[1]Leakage Tree Data'!AC31&lt;&gt;"",'[1]Leakage Tree Data'!AC31,"")</f>
        <v>-55680439.4890461</v>
      </c>
      <c s="72">
        <f>IF('[1]Leakage Tree Data'!AD31&lt;&gt;"",'[1]Leakage Tree Data'!AD31,"")</f>
        <v>-2.3838159488075</v>
      </c>
      <c s="72">
        <f>IF('[1]Leakage Tree Data'!AE31&lt;&gt;"",'[1]Leakage Tree Data'!AE31,"")</f>
      </c>
      <c s="73">
        <f t="shared" si="4"/>
        <v>610436804.760924</v>
      </c>
      <c s="73">
        <f t="shared" si="5"/>
        <v>181239767.421648</v>
      </c>
      <c s="73">
        <f t="shared" si="6"/>
        <v>-63072569.2734518</v>
      </c>
      <c s="73">
        <f t="shared" si="7"/>
        <v>-55680439.4890461</v>
      </c>
      <c s="74">
        <f t="shared" si="8"/>
        <v>-0.0177159816894387</v>
      </c>
      <c s="74">
        <f t="shared" si="9"/>
        <v>-0.0209933274763886</v>
      </c>
      <c s="69" t="str">
        <f t="shared" si="0"/>
        <v>Total US - GroceryX</v>
      </c>
      <c s="69" t="str">
        <f t="shared" si="1"/>
        <v>Total US - GroceryX</v>
      </c>
      <c s="77"/>
    </row>
    <row r="133" spans="1:141" ht="15">
      <c r="A1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133,$AL$8:$AL$15,1,FALSE))=TRUE,IF(AND(CV133=CW133,CV133&lt;&gt;"",DI$111&lt;&gt;"",DK133&lt;&gt;""),IF(CW$101="Y",DK133-IF(ISERROR(VLOOKUP(CV133,$CA$113:$DK$300,37,FALSE))=TRUE,0,IF(VLOOKUP(CV133,$CA$113:$DK$300,37,FALSE)="",0,VLOOKUP(CV133,$CA$113:$DK$300,37,FALSE))),DK133-IF(AND(CW$102="Y",CV133=$CW$111),DI$111,0)),""),"")</f>
      </c>
      <c s="76">
        <f>IF(ISERROR(VLOOKUP(CV133,$AL$8:$AL$15,1,FALSE))=TRUE,IF(CB133&lt;&gt;"",IF(CB133&gt;0,IF(Z$4&lt;&gt;"",MIN(4,RANK(CB133,$CB$111:$CB$300)),RANK(CB133,$CB$111:$CB$300)),""),""),"")</f>
      </c>
      <c s="75">
        <f>IF(ISERROR(VLOOKUP(CV133,$AL$8:$AL$15,1,FALSE))=TRUE,IF(AND(ISERROR(FIND("NeighMkt",$CX$102))=FALSE,LEFT($CW$111,10)="ALL OUTLET",$CA133&lt;&gt;"",DK133&lt;&gt;""),"",IF(AND($CV133&lt;&gt;$CW133,$CW133=CD$110),$DK133,"")),"")</f>
      </c>
      <c s="76">
        <f>IF(ISERROR(VLOOKUP(CV133,$AL$8:$AL$15,1,FALSE))=TRUE,IF(CD133&lt;&gt;"",IF(CD133&gt;0,RANK(CD133,$CD$111:$CD$300),""),""),"")</f>
      </c>
      <c s="75">
        <f>IF(ISERROR(VLOOKUP(CV133,$AL$8:$AL$15,1,FALSE))=TRUE,IF(AND(ISERROR(FIND("NeighMkt",$CX$102))=FALSE,LEFT($CW$111,10)="ALL OUTLET",$CA133&lt;&gt;"",DK133&lt;&gt;""),"",IF(AND($CV133&lt;&gt;$CW133,$CW133=CF$110),$DK133,"")),"")</f>
      </c>
      <c s="76">
        <f>IF(ISERROR(VLOOKUP(CV133,$AL$8:$AL$15,1,FALSE))=TRUE,IF(CF133&lt;&gt;"",IF(CF133&gt;0,RANK(CF133,$CF$111:$CF$300),""),""),"")</f>
      </c>
      <c s="75">
        <f>IF(ISERROR(VLOOKUP(CV133,$AL$8:$AL$15,1,FALSE))=TRUE,IF(AND(ISERROR(FIND("NeighMkt",$CX$102))=FALSE,LEFT($CW$111,10)="ALL OUTLET",$CA133&lt;&gt;"",DK133&lt;&gt;""),"",IF(AND($CV133&lt;&gt;$CW133,$CW133=CH$110),$DK133,"")),"")</f>
      </c>
      <c s="76">
        <f>IF(ISERROR(VLOOKUP(CV133,$AL$8:$AL$15,1,FALSE))=TRUE,IF(CH133&lt;&gt;"",IF(CH133&gt;0,RANK(CH133,$CH$111:$CH$300),""),""),"")</f>
      </c>
      <c s="75">
        <f>IF(ISERROR(VLOOKUP(CV133,$AL$8:$AL$15,1,FALSE))=TRUE,IF(AND(ISERROR(FIND("NeighMkt",$CX$102))=FALSE,LEFT($CW$111,10)="ALL OUTLET",$CA133&lt;&gt;"",DK133&lt;&gt;""),"",IF($Z$4="",IF(AND($CV133&lt;&gt;$CW133,$CW133=CJ$110),$DK133,""),IF(AND($CV133&lt;&gt;$CW133,$CW133&lt;&gt;CD$110,$CW133&lt;&gt;CF$110,$CW133&lt;&gt;CH$110,$CW133&lt;&gt;$CV$111),$DK133,""))),"")</f>
      </c>
      <c s="76">
        <f>IF(ISERROR(VLOOKUP(CV133,$AL$8:$AL$15,1,FALSE))=TRUE,IF(CJ133&lt;&gt;"",IF(CJ133&gt;0,RANK(CJ133,$CJ$111:$CJ$300),""),""),"")</f>
      </c>
      <c s="75">
        <f>IF(ISERROR(VLOOKUP(CV133,$AL$8:$AL$15,1,FALSE))=TRUE,IF(AND(CV133=CW133,CV133&lt;&gt;"",DJ133&lt;&gt;""),IF(AND(ISERROR(FIND("NeighMkt",$CX$102))=FALSE,LEFT($CW$111,10)="ALL OUTLET"),DJ133-IF(ISERROR(VLOOKUP(CV133,$CA$113:$DK$300,36,FALSE))=TRUE,0,IF(VLOOKUP(CV133,$CA$113:$DK$300,36,FALSE)="",0,VLOOKUP(CV133,$CA$113:$DK$300,36,FALSE))),DJ133),""),"")</f>
      </c>
      <c s="76">
        <f>IF(ISERROR(VLOOKUP(CV133,$AL$8:$AL$15,1,FALSE))=TRUE,IF(CL133&lt;&gt;"",IF(CL133&gt;0,IF($Z$4&lt;&gt;"",MIN(4,RANK(CL133,$CL$111:$CL$300)),RANK(CL133,$CL$111:$CL$300)),""),""),"")</f>
      </c>
      <c s="75">
        <f>IF(ISERROR(VLOOKUP(CV133,$AL$8:$AL$15,1,FALSE))=TRUE,IF(AND(ISERROR(FIND("NeighMkt",$CX$102))=FALSE,LEFT($CW$111,10)="ALL OUTLET",$CA133&lt;&gt;"",DJ133&lt;&gt;""),"",IF(AND($CV133&lt;&gt;$CW133,$CW133=CN$110),$DJ133,"")),"")</f>
      </c>
      <c s="76">
        <f>IF(ISERROR(VLOOKUP(CV133,$AL$8:$AL$15,1,FALSE))=TRUE,IF(CN133&lt;&gt;"",IF(CN133&gt;0,RANK(CN133,$CN$111:$CN$300),""),""),"")</f>
      </c>
      <c s="75">
        <f>IF(ISERROR(VLOOKUP(CV133,$AL$8:$AL$15,1,FALSE))=TRUE,IF(AND(ISERROR(FIND("NeighMkt",$CX$102))=FALSE,LEFT($CW$111,10)="ALL OUTLET",$CA133&lt;&gt;"",DJ133&lt;&gt;""),"",IF(AND($CV133&lt;&gt;$CW133,$CW133=CP$110),$DJ133,"")),"")</f>
      </c>
      <c s="76">
        <f>IF(ISERROR(VLOOKUP(CV133,$AL$8:$AL$15,1,FALSE))=TRUE,IF(CP133&lt;&gt;"",IF(CP133&gt;0,RANK(CP133,$CP$111:$CP$300),""),""),"")</f>
      </c>
      <c s="75">
        <f>IF(ISERROR(VLOOKUP(CV133,$AL$8:$AL$15,1,FALSE))=TRUE,IF(AND(ISERROR(FIND("NeighMkt",$CX$102))=FALSE,LEFT($CW$111,10)="ALL OUTLET",$CA133&lt;&gt;"",DJ133&lt;&gt;""),"",IF(AND($CV133&lt;&gt;$CW133,$CW133=CR$110),$DJ133,"")),"")</f>
      </c>
      <c s="76">
        <f>IF(ISERROR(VLOOKUP(CV133,$AL$8:$AL$15,1,FALSE))=TRUE,IF(CR133&lt;&gt;"",IF(CR133&gt;0,RANK(CR133,$CR$111:$CR$300),""),""),"")</f>
      </c>
      <c s="75">
        <f>IF(ISERROR(VLOOKUP(CV133,$AL$8:$AL$15,1,FALSE))=TRUE,IF(AND(ISERROR(FIND("NeighMkt",$CX$102))=FALSE,LEFT($CW$111,10)="ALL OUTLET",$CA133&lt;&gt;"",DJ133&lt;&gt;""),"",IF($Z$4="",IF(AND($CV133&lt;&gt;$CW133,$CW133=CT$110),$DJ133,""),IF(AND($CV133&lt;&gt;$CW133,$CW133&lt;&gt;CN$110,$CW133&lt;&gt;CP$110,$CW133&lt;&gt;CR$110,$CW133&lt;&gt;$CV$111),$DJ133,""))),"")</f>
      </c>
      <c s="76">
        <f>IF(ISERROR(VLOOKUP(CV133,$AL$8:$AL$15,1,FALSE))=TRUE,IF(CT133&lt;&gt;"",IF(CT133&gt;0,RANK(CT133,$CT$111:$CT$300),""),""),"")</f>
      </c>
      <c s="65" t="str">
        <f t="shared" si="2"/>
        <v>A&amp;P</v>
      </c>
      <c s="65" t="str">
        <f t="shared" si="3"/>
        <v>GroceryX</v>
      </c>
      <c s="72" t="str">
        <f>IF('[1]Leakage Tree Data'!A32&lt;&gt;"",'[1]Leakage Tree Data'!A32,"")</f>
        <v>Total US - A&amp;P</v>
      </c>
      <c s="72" t="str">
        <f>IF('[1]Leakage Tree Data'!B32&lt;&gt;"",'[1]Leakage Tree Data'!B32,"")</f>
        <v>Total US - GroceryX</v>
      </c>
      <c s="72">
        <f>IF('[1]Leakage Tree Data'!C32&lt;&gt;"",'[1]Leakage Tree Data'!C32,"")</f>
        <v>121171760.292236</v>
      </c>
      <c s="72">
        <f>IF('[1]Leakage Tree Data'!D32&lt;&gt;"",'[1]Leakage Tree Data'!D32,"")</f>
        <v>1228605.45092773</v>
      </c>
      <c s="72">
        <f>IF('[1]Leakage Tree Data'!E32&lt;&gt;"",'[1]Leakage Tree Data'!E32,"")</f>
        <v>1.0139371153515</v>
      </c>
      <c s="72">
        <f>IF('[1]Leakage Tree Data'!F32&lt;&gt;"",'[1]Leakage Tree Data'!F32,"")</f>
        <v>119943154.841309</v>
      </c>
      <c s="72">
        <f>IF('[1]Leakage Tree Data'!G32&lt;&gt;"",'[1]Leakage Tree Data'!G32,"")</f>
        <v>98.9860628846485</v>
      </c>
      <c s="72">
        <f>IF('[1]Leakage Tree Data'!H32&lt;&gt;"",'[1]Leakage Tree Data'!H32,"")</f>
        <v>61518209.9918823</v>
      </c>
      <c s="72" t="str">
        <f>IF('[1]Leakage Tree Data'!I32&lt;&gt;"",'[1]Leakage Tree Data'!I32,"")</f>
        <v>GroceryX</v>
      </c>
      <c s="72">
        <f>IF('[1]Leakage Tree Data'!J32&lt;&gt;"",'[1]Leakage Tree Data'!J32,"")</f>
      </c>
      <c s="72">
        <f>IF('[1]Leakage Tree Data'!K32&lt;&gt;"",'[1]Leakage Tree Data'!K32,"")</f>
      </c>
      <c s="72">
        <f>IF('[1]Leakage Tree Data'!L32&lt;&gt;"",'[1]Leakage Tree Data'!L32,"")</f>
      </c>
      <c s="72">
        <f>IF('[1]Leakage Tree Data'!M32&lt;&gt;"",'[1]Leakage Tree Data'!M32,"")</f>
      </c>
      <c s="72">
        <f>IF('[1]Leakage Tree Data'!N32&lt;&gt;"",'[1]Leakage Tree Data'!N32,"")</f>
      </c>
      <c s="72">
        <f>IF('[1]Leakage Tree Data'!O32&lt;&gt;"",'[1]Leakage Tree Data'!O32,"")</f>
        <v>16.9056752839046</v>
      </c>
      <c s="72">
        <f>IF('[1]Leakage Tree Data'!P32&lt;&gt;"",'[1]Leakage Tree Data'!P32,"")</f>
        <v>197254.574070453</v>
      </c>
      <c s="72">
        <f>IF('[1]Leakage Tree Data'!Q32&lt;&gt;"",'[1]Leakage Tree Data'!Q32,"")</f>
      </c>
      <c s="72">
        <f>IF('[1]Leakage Tree Data'!R32&lt;&gt;"",'[1]Leakage Tree Data'!R32,"")</f>
        <v>1017625.85098267</v>
      </c>
      <c s="72">
        <f>IF('[1]Leakage Tree Data'!S32&lt;&gt;"",'[1]Leakage Tree Data'!S32,"")</f>
        <v>-65266.0344238281</v>
      </c>
      <c s="72">
        <f>IF('[1]Leakage Tree Data'!T32&lt;&gt;"",'[1]Leakage Tree Data'!T32,"")</f>
        <v>-0.0629059673841752</v>
      </c>
      <c s="72">
        <f>IF('[1]Leakage Tree Data'!U32&lt;&gt;"",'[1]Leakage Tree Data'!U32,"")</f>
        <v>1082891.88540649</v>
      </c>
      <c s="72">
        <f>IF('[1]Leakage Tree Data'!V32&lt;&gt;"",'[1]Leakage Tree Data'!V32,"")</f>
        <v>0.0629059673841823</v>
      </c>
      <c s="72">
        <f>IF('[1]Leakage Tree Data'!W32&lt;&gt;"",'[1]Leakage Tree Data'!W32,"")</f>
        <v>-1855949.2237854</v>
      </c>
      <c s="72">
        <f>IF('[1]Leakage Tree Data'!X32&lt;&gt;"",'[1]Leakage Tree Data'!X32,"")</f>
      </c>
      <c s="72">
        <f>IF('[1]Leakage Tree Data'!Y32&lt;&gt;"",'[1]Leakage Tree Data'!Y32,"")</f>
      </c>
      <c s="72">
        <f>IF('[1]Leakage Tree Data'!Z32&lt;&gt;"",'[1]Leakage Tree Data'!Z32,"")</f>
      </c>
      <c s="72">
        <f>IF('[1]Leakage Tree Data'!AA32&lt;&gt;"",'[1]Leakage Tree Data'!AA32,"")</f>
      </c>
      <c s="72">
        <f>IF('[1]Leakage Tree Data'!AB32&lt;&gt;"",'[1]Leakage Tree Data'!AB32,"")</f>
      </c>
      <c s="72">
        <f>IF('[1]Leakage Tree Data'!AC32&lt;&gt;"",'[1]Leakage Tree Data'!AC32,"")</f>
      </c>
      <c s="72">
        <f>IF('[1]Leakage Tree Data'!AD32&lt;&gt;"",'[1]Leakage Tree Data'!AD32,"")</f>
        <v>-5.65016915239467</v>
      </c>
      <c s="72">
        <f>IF('[1]Leakage Tree Data'!AE32&lt;&gt;"",'[1]Leakage Tree Data'!AE32,"")</f>
      </c>
      <c s="73">
        <f t="shared" si="4"/>
      </c>
      <c s="73">
        <f t="shared" si="5"/>
      </c>
      <c s="73">
        <f t="shared" si="6"/>
      </c>
      <c s="73">
        <f t="shared" si="7"/>
      </c>
      <c s="74">
        <f t="shared" si="8"/>
      </c>
      <c s="74">
        <f t="shared" si="9"/>
      </c>
      <c s="69" t="str">
        <f t="shared" si="0"/>
        <v>Total US - A&amp;P</v>
      </c>
      <c s="69" t="str">
        <f t="shared" si="1"/>
        <v>Total US - GroceryX</v>
      </c>
      <c s="77"/>
    </row>
    <row r="134" spans="1:141" ht="15">
      <c r="A1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134,$AL$8:$AL$15,1,FALSE))=TRUE,IF(AND(CV134=CW134,CV134&lt;&gt;"",DI$111&lt;&gt;"",DK134&lt;&gt;""),IF(CW$101="Y",DK134-IF(ISERROR(VLOOKUP(CV134,$CA$113:$DK$300,37,FALSE))=TRUE,0,IF(VLOOKUP(CV134,$CA$113:$DK$300,37,FALSE)="",0,VLOOKUP(CV134,$CA$113:$DK$300,37,FALSE))),DK134-IF(AND(CW$102="Y",CV134=$CW$111),DI$111,0)),""),"")</f>
      </c>
      <c s="76">
        <f>IF(ISERROR(VLOOKUP(CV134,$AL$8:$AL$15,1,FALSE))=TRUE,IF(CB134&lt;&gt;"",IF(CB134&gt;0,IF(Z$4&lt;&gt;"",MIN(4,RANK(CB134,$CB$111:$CB$300)),RANK(CB134,$CB$111:$CB$300)),""),""),"")</f>
      </c>
      <c s="75">
        <f>IF(ISERROR(VLOOKUP(CV134,$AL$8:$AL$15,1,FALSE))=TRUE,IF(AND(ISERROR(FIND("NeighMkt",$CX$102))=FALSE,LEFT($CW$111,10)="ALL OUTLET",$CA134&lt;&gt;"",DK134&lt;&gt;""),"",IF(AND($CV134&lt;&gt;$CW134,$CW134=CD$110),$DK134,"")),"")</f>
      </c>
      <c s="76">
        <f>IF(ISERROR(VLOOKUP(CV134,$AL$8:$AL$15,1,FALSE))=TRUE,IF(CD134&lt;&gt;"",IF(CD134&gt;0,RANK(CD134,$CD$111:$CD$300),""),""),"")</f>
      </c>
      <c s="75">
        <f>IF(ISERROR(VLOOKUP(CV134,$AL$8:$AL$15,1,FALSE))=TRUE,IF(AND(ISERROR(FIND("NeighMkt",$CX$102))=FALSE,LEFT($CW$111,10)="ALL OUTLET",$CA134&lt;&gt;"",DK134&lt;&gt;""),"",IF(AND($CV134&lt;&gt;$CW134,$CW134=CF$110),$DK134,"")),"")</f>
      </c>
      <c s="76">
        <f>IF(ISERROR(VLOOKUP(CV134,$AL$8:$AL$15,1,FALSE))=TRUE,IF(CF134&lt;&gt;"",IF(CF134&gt;0,RANK(CF134,$CF$111:$CF$300),""),""),"")</f>
      </c>
      <c s="75">
        <f>IF(ISERROR(VLOOKUP(CV134,$AL$8:$AL$15,1,FALSE))=TRUE,IF(AND(ISERROR(FIND("NeighMkt",$CX$102))=FALSE,LEFT($CW$111,10)="ALL OUTLET",$CA134&lt;&gt;"",DK134&lt;&gt;""),"",IF(AND($CV134&lt;&gt;$CW134,$CW134=CH$110),$DK134,"")),"")</f>
      </c>
      <c s="76">
        <f>IF(ISERROR(VLOOKUP(CV134,$AL$8:$AL$15,1,FALSE))=TRUE,IF(CH134&lt;&gt;"",IF(CH134&gt;0,RANK(CH134,$CH$111:$CH$300),""),""),"")</f>
      </c>
      <c s="75">
        <f>IF(ISERROR(VLOOKUP(CV134,$AL$8:$AL$15,1,FALSE))=TRUE,IF(AND(ISERROR(FIND("NeighMkt",$CX$102))=FALSE,LEFT($CW$111,10)="ALL OUTLET",$CA134&lt;&gt;"",DK134&lt;&gt;""),"",IF($Z$4="",IF(AND($CV134&lt;&gt;$CW134,$CW134=CJ$110),$DK134,""),IF(AND($CV134&lt;&gt;$CW134,$CW134&lt;&gt;CD$110,$CW134&lt;&gt;CF$110,$CW134&lt;&gt;CH$110,$CW134&lt;&gt;$CV$111),$DK134,""))),"")</f>
      </c>
      <c s="76">
        <f>IF(ISERROR(VLOOKUP(CV134,$AL$8:$AL$15,1,FALSE))=TRUE,IF(CJ134&lt;&gt;"",IF(CJ134&gt;0,RANK(CJ134,$CJ$111:$CJ$300),""),""),"")</f>
      </c>
      <c s="75">
        <f>IF(ISERROR(VLOOKUP(CV134,$AL$8:$AL$15,1,FALSE))=TRUE,IF(AND(CV134=CW134,CV134&lt;&gt;"",DJ134&lt;&gt;""),IF(AND(ISERROR(FIND("NeighMkt",$CX$102))=FALSE,LEFT($CW$111,10)="ALL OUTLET"),DJ134-IF(ISERROR(VLOOKUP(CV134,$CA$113:$DK$300,36,FALSE))=TRUE,0,IF(VLOOKUP(CV134,$CA$113:$DK$300,36,FALSE)="",0,VLOOKUP(CV134,$CA$113:$DK$300,36,FALSE))),DJ134),""),"")</f>
      </c>
      <c s="76">
        <f>IF(ISERROR(VLOOKUP(CV134,$AL$8:$AL$15,1,FALSE))=TRUE,IF(CL134&lt;&gt;"",IF(CL134&gt;0,IF($Z$4&lt;&gt;"",MIN(4,RANK(CL134,$CL$111:$CL$300)),RANK(CL134,$CL$111:$CL$300)),""),""),"")</f>
      </c>
      <c s="75">
        <f>IF(ISERROR(VLOOKUP(CV134,$AL$8:$AL$15,1,FALSE))=TRUE,IF(AND(ISERROR(FIND("NeighMkt",$CX$102))=FALSE,LEFT($CW$111,10)="ALL OUTLET",$CA134&lt;&gt;"",DJ134&lt;&gt;""),"",IF(AND($CV134&lt;&gt;$CW134,$CW134=CN$110),$DJ134,"")),"")</f>
        <v>2324381.02497864</v>
      </c>
      <c s="76">
        <f>IF(ISERROR(VLOOKUP(CV134,$AL$8:$AL$15,1,FALSE))=TRUE,IF(CN134&lt;&gt;"",IF(CN134&gt;0,RANK(CN134,$CN$111:$CN$300),""),""),"")</f>
        <v>40</v>
      </c>
      <c s="75">
        <f>IF(ISERROR(VLOOKUP(CV134,$AL$8:$AL$15,1,FALSE))=TRUE,IF(AND(ISERROR(FIND("NeighMkt",$CX$102))=FALSE,LEFT($CW$111,10)="ALL OUTLET",$CA134&lt;&gt;"",DJ134&lt;&gt;""),"",IF(AND($CV134&lt;&gt;$CW134,$CW134=CP$110),$DJ134,"")),"")</f>
      </c>
      <c s="76">
        <f>IF(ISERROR(VLOOKUP(CV134,$AL$8:$AL$15,1,FALSE))=TRUE,IF(CP134&lt;&gt;"",IF(CP134&gt;0,RANK(CP134,$CP$111:$CP$300),""),""),"")</f>
      </c>
      <c s="75">
        <f>IF(ISERROR(VLOOKUP(CV134,$AL$8:$AL$15,1,FALSE))=TRUE,IF(AND(ISERROR(FIND("NeighMkt",$CX$102))=FALSE,LEFT($CW$111,10)="ALL OUTLET",$CA134&lt;&gt;"",DJ134&lt;&gt;""),"",IF(AND($CV134&lt;&gt;$CW134,$CW134=CR$110),$DJ134,"")),"")</f>
      </c>
      <c s="76">
        <f>IF(ISERROR(VLOOKUP(CV134,$AL$8:$AL$15,1,FALSE))=TRUE,IF(CR134&lt;&gt;"",IF(CR134&gt;0,RANK(CR134,$CR$111:$CR$300),""),""),"")</f>
      </c>
      <c s="75">
        <f>IF(ISERROR(VLOOKUP(CV134,$AL$8:$AL$15,1,FALSE))=TRUE,IF(AND(ISERROR(FIND("NeighMkt",$CX$102))=FALSE,LEFT($CW$111,10)="ALL OUTLET",$CA134&lt;&gt;"",DJ134&lt;&gt;""),"",IF($Z$4="",IF(AND($CV134&lt;&gt;$CW134,$CW134=CT$110),$DJ134,""),IF(AND($CV134&lt;&gt;$CW134,$CW134&lt;&gt;CN$110,$CW134&lt;&gt;CP$110,$CW134&lt;&gt;CR$110,$CW134&lt;&gt;$CV$111),$DJ134,""))),"")</f>
      </c>
      <c s="76">
        <f>IF(ISERROR(VLOOKUP(CV134,$AL$8:$AL$15,1,FALSE))=TRUE,IF(CT134&lt;&gt;"",IF(CT134&gt;0,RANK(CT134,$CT$111:$CT$300),""),""),"")</f>
      </c>
      <c s="65" t="str">
        <f t="shared" si="2"/>
        <v>Acme Market</v>
      </c>
      <c s="65" t="str">
        <f t="shared" si="3"/>
        <v>GroceryX</v>
      </c>
      <c s="72" t="str">
        <f>IF('[1]Leakage Tree Data'!A33&lt;&gt;"",'[1]Leakage Tree Data'!A33,"")</f>
        <v>Total US - Acme Market</v>
      </c>
      <c s="72" t="str">
        <f>IF('[1]Leakage Tree Data'!B33&lt;&gt;"",'[1]Leakage Tree Data'!B33,"")</f>
        <v>Total US - GroceryX</v>
      </c>
      <c s="72">
        <f>IF('[1]Leakage Tree Data'!C33&lt;&gt;"",'[1]Leakage Tree Data'!C33,"")</f>
        <v>121171760.292236</v>
      </c>
      <c s="72">
        <f>IF('[1]Leakage Tree Data'!D33&lt;&gt;"",'[1]Leakage Tree Data'!D33,"")</f>
        <v>2111672.67926025</v>
      </c>
      <c s="72">
        <f>IF('[1]Leakage Tree Data'!E33&lt;&gt;"",'[1]Leakage Tree Data'!E33,"")</f>
        <v>1.74271024384512</v>
      </c>
      <c s="72">
        <f>IF('[1]Leakage Tree Data'!F33&lt;&gt;"",'[1]Leakage Tree Data'!F33,"")</f>
        <v>119060087.612976</v>
      </c>
      <c s="72">
        <f>IF('[1]Leakage Tree Data'!G33&lt;&gt;"",'[1]Leakage Tree Data'!G33,"")</f>
        <v>98.2572897561549</v>
      </c>
      <c s="72">
        <f>IF('[1]Leakage Tree Data'!H33&lt;&gt;"",'[1]Leakage Tree Data'!H33,"")</f>
        <v>61518209.9918823</v>
      </c>
      <c s="72" t="str">
        <f>IF('[1]Leakage Tree Data'!I33&lt;&gt;"",'[1]Leakage Tree Data'!I33,"")</f>
        <v>GroceryX</v>
      </c>
      <c s="72">
        <f>IF('[1]Leakage Tree Data'!J33&lt;&gt;"",'[1]Leakage Tree Data'!J33,"")</f>
        <v>99.5415431498216</v>
      </c>
      <c s="72">
        <f>IF('[1]Leakage Tree Data'!K33&lt;&gt;"",'[1]Leakage Tree Data'!K33,"")</f>
        <v>282034.447814941</v>
      </c>
      <c s="72">
        <f>IF('[1]Leakage Tree Data'!L33&lt;&gt;"",'[1]Leakage Tree Data'!L33,"")</f>
      </c>
      <c s="72">
        <f>IF('[1]Leakage Tree Data'!M33&lt;&gt;"",'[1]Leakage Tree Data'!M33,"")</f>
        <v>2324381.02497864</v>
      </c>
      <c s="72">
        <f>IF('[1]Leakage Tree Data'!N33&lt;&gt;"",'[1]Leakage Tree Data'!N33,"")</f>
      </c>
      <c s="72">
        <f>IF('[1]Leakage Tree Data'!O33&lt;&gt;"",'[1]Leakage Tree Data'!O33,"")</f>
        <v>26.4217165794879</v>
      </c>
      <c s="72">
        <f>IF('[1]Leakage Tree Data'!P33&lt;&gt;"",'[1]Leakage Tree Data'!P33,"")</f>
        <v>460777.449415948</v>
      </c>
      <c s="72">
        <f>IF('[1]Leakage Tree Data'!Q33&lt;&gt;"",'[1]Leakage Tree Data'!Q33,"")</f>
      </c>
      <c s="72">
        <f>IF('[1]Leakage Tree Data'!R33&lt;&gt;"",'[1]Leakage Tree Data'!R33,"")</f>
        <v>1017625.85098267</v>
      </c>
      <c s="72">
        <f>IF('[1]Leakage Tree Data'!S33&lt;&gt;"",'[1]Leakage Tree Data'!S33,"")</f>
        <v>286357.514343262</v>
      </c>
      <c s="72">
        <f>IF('[1]Leakage Tree Data'!T33&lt;&gt;"",'[1]Leakage Tree Data'!T33,"")</f>
        <v>0.223565544076644</v>
      </c>
      <c s="72">
        <f>IF('[1]Leakage Tree Data'!U33&lt;&gt;"",'[1]Leakage Tree Data'!U33,"")</f>
        <v>731268.336639404</v>
      </c>
      <c s="72">
        <f>IF('[1]Leakage Tree Data'!V33&lt;&gt;"",'[1]Leakage Tree Data'!V33,"")</f>
        <v>-0.223565544076649</v>
      </c>
      <c s="72">
        <f>IF('[1]Leakage Tree Data'!W33&lt;&gt;"",'[1]Leakage Tree Data'!W33,"")</f>
        <v>-1855949.2237854</v>
      </c>
      <c s="72">
        <f>IF('[1]Leakage Tree Data'!X33&lt;&gt;"",'[1]Leakage Tree Data'!X33,"")</f>
      </c>
      <c s="72">
        <f>IF('[1]Leakage Tree Data'!Y33&lt;&gt;"",'[1]Leakage Tree Data'!Y33,"")</f>
        <v>0.0789551832783388</v>
      </c>
      <c s="72">
        <f>IF('[1]Leakage Tree Data'!Z33&lt;&gt;"",'[1]Leakage Tree Data'!Z33,"")</f>
        <v>-58545.9099121094</v>
      </c>
      <c s="72">
        <f>IF('[1]Leakage Tree Data'!AA33&lt;&gt;"",'[1]Leakage Tree Data'!AA33,"")</f>
      </c>
      <c s="72">
        <f>IF('[1]Leakage Tree Data'!AB33&lt;&gt;"",'[1]Leakage Tree Data'!AB33,"")</f>
        <v>-1144003.58778477</v>
      </c>
      <c s="72">
        <f>IF('[1]Leakage Tree Data'!AC33&lt;&gt;"",'[1]Leakage Tree Data'!AC33,"")</f>
      </c>
      <c s="72">
        <f>IF('[1]Leakage Tree Data'!AD33&lt;&gt;"",'[1]Leakage Tree Data'!AD33,"")</f>
        <v>-4.30306347221032</v>
      </c>
      <c s="72">
        <f>IF('[1]Leakage Tree Data'!AE33&lt;&gt;"",'[1]Leakage Tree Data'!AE33,"")</f>
      </c>
      <c s="73">
        <f t="shared" si="4"/>
      </c>
      <c s="73">
        <f t="shared" si="5"/>
      </c>
      <c s="73">
        <f t="shared" si="6"/>
      </c>
      <c s="73">
        <f t="shared" si="7"/>
      </c>
      <c s="74">
        <f t="shared" si="8"/>
      </c>
      <c s="74">
        <f t="shared" si="9"/>
      </c>
      <c s="69" t="str">
        <f t="shared" si="0"/>
        <v>Total US - Acme Market</v>
      </c>
      <c s="69" t="str">
        <f t="shared" si="1"/>
        <v>Total US - GroceryX</v>
      </c>
      <c s="77"/>
    </row>
    <row r="135" spans="1:141" ht="15">
      <c r="A1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135,$AL$8:$AL$15,1,FALSE))=TRUE,IF(AND(CV135=CW135,CV135&lt;&gt;"",DI$111&lt;&gt;"",DK135&lt;&gt;""),IF(CW$101="Y",DK135-IF(ISERROR(VLOOKUP(CV135,$CA$113:$DK$300,37,FALSE))=TRUE,0,IF(VLOOKUP(CV135,$CA$113:$DK$300,37,FALSE)="",0,VLOOKUP(CV135,$CA$113:$DK$300,37,FALSE))),DK135-IF(AND(CW$102="Y",CV135=$CW$111),DI$111,0)),""),"")</f>
      </c>
      <c s="76">
        <f>IF(ISERROR(VLOOKUP(CV135,$AL$8:$AL$15,1,FALSE))=TRUE,IF(CB135&lt;&gt;"",IF(CB135&gt;0,IF(Z$4&lt;&gt;"",MIN(4,RANK(CB135,$CB$111:$CB$300)),RANK(CB135,$CB$111:$CB$300)),""),""),"")</f>
      </c>
      <c s="75">
        <f>IF(ISERROR(VLOOKUP(CV135,$AL$8:$AL$15,1,FALSE))=TRUE,IF(AND(ISERROR(FIND("NeighMkt",$CX$102))=FALSE,LEFT($CW$111,10)="ALL OUTLET",$CA135&lt;&gt;"",DK135&lt;&gt;""),"",IF(AND($CV135&lt;&gt;$CW135,$CW135=CD$110),$DK135,"")),"")</f>
        <v>2645514.15057373</v>
      </c>
      <c s="76">
        <f>IF(ISERROR(VLOOKUP(CV135,$AL$8:$AL$15,1,FALSE))=TRUE,IF(CD135&lt;&gt;"",IF(CD135&gt;0,RANK(CD135,$CD$111:$CD$300),""),""),"")</f>
        <v>19</v>
      </c>
      <c s="75">
        <f>IF(ISERROR(VLOOKUP(CV135,$AL$8:$AL$15,1,FALSE))=TRUE,IF(AND(ISERROR(FIND("NeighMkt",$CX$102))=FALSE,LEFT($CW$111,10)="ALL OUTLET",$CA135&lt;&gt;"",DK135&lt;&gt;""),"",IF(AND($CV135&lt;&gt;$CW135,$CW135=CF$110),$DK135,"")),"")</f>
      </c>
      <c s="76">
        <f>IF(ISERROR(VLOOKUP(CV135,$AL$8:$AL$15,1,FALSE))=TRUE,IF(CF135&lt;&gt;"",IF(CF135&gt;0,RANK(CF135,$CF$111:$CF$300),""),""),"")</f>
      </c>
      <c s="75">
        <f>IF(ISERROR(VLOOKUP(CV135,$AL$8:$AL$15,1,FALSE))=TRUE,IF(AND(ISERROR(FIND("NeighMkt",$CX$102))=FALSE,LEFT($CW$111,10)="ALL OUTLET",$CA135&lt;&gt;"",DK135&lt;&gt;""),"",IF(AND($CV135&lt;&gt;$CW135,$CW135=CH$110),$DK135,"")),"")</f>
      </c>
      <c s="76">
        <f>IF(ISERROR(VLOOKUP(CV135,$AL$8:$AL$15,1,FALSE))=TRUE,IF(CH135&lt;&gt;"",IF(CH135&gt;0,RANK(CH135,$CH$111:$CH$300),""),""),"")</f>
      </c>
      <c s="75">
        <f>IF(ISERROR(VLOOKUP(CV135,$AL$8:$AL$15,1,FALSE))=TRUE,IF(AND(ISERROR(FIND("NeighMkt",$CX$102))=FALSE,LEFT($CW$111,10)="ALL OUTLET",$CA135&lt;&gt;"",DK135&lt;&gt;""),"",IF($Z$4="",IF(AND($CV135&lt;&gt;$CW135,$CW135=CJ$110),$DK135,""),IF(AND($CV135&lt;&gt;$CW135,$CW135&lt;&gt;CD$110,$CW135&lt;&gt;CF$110,$CW135&lt;&gt;CH$110,$CW135&lt;&gt;$CV$111),$DK135,""))),"")</f>
      </c>
      <c s="76">
        <f>IF(ISERROR(VLOOKUP(CV135,$AL$8:$AL$15,1,FALSE))=TRUE,IF(CJ135&lt;&gt;"",IF(CJ135&gt;0,RANK(CJ135,$CJ$111:$CJ$300),""),""),"")</f>
      </c>
      <c s="75">
        <f>IF(ISERROR(VLOOKUP(CV135,$AL$8:$AL$15,1,FALSE))=TRUE,IF(AND(CV135=CW135,CV135&lt;&gt;"",DJ135&lt;&gt;""),IF(AND(ISERROR(FIND("NeighMkt",$CX$102))=FALSE,LEFT($CW$111,10)="ALL OUTLET"),DJ135-IF(ISERROR(VLOOKUP(CV135,$CA$113:$DK$300,36,FALSE))=TRUE,0,IF(VLOOKUP(CV135,$CA$113:$DK$300,36,FALSE)="",0,VLOOKUP(CV135,$CA$113:$DK$300,36,FALSE))),DJ135),""),"")</f>
      </c>
      <c s="76">
        <f>IF(ISERROR(VLOOKUP(CV135,$AL$8:$AL$15,1,FALSE))=TRUE,IF(CL135&lt;&gt;"",IF(CL135&gt;0,IF($Z$4&lt;&gt;"",MIN(4,RANK(CL135,$CL$111:$CL$300)),RANK(CL135,$CL$111:$CL$300)),""),""),"")</f>
      </c>
      <c s="75">
        <f>IF(ISERROR(VLOOKUP(CV135,$AL$8:$AL$15,1,FALSE))=TRUE,IF(AND(ISERROR(FIND("NeighMkt",$CX$102))=FALSE,LEFT($CW$111,10)="ALL OUTLET",$CA135&lt;&gt;"",DJ135&lt;&gt;""),"",IF(AND($CV135&lt;&gt;$CW135,$CW135=CN$110),$DJ135,"")),"")</f>
        <v>9334064.06549072</v>
      </c>
      <c s="76">
        <f>IF(ISERROR(VLOOKUP(CV135,$AL$8:$AL$15,1,FALSE))=TRUE,IF(CN135&lt;&gt;"",IF(CN135&gt;0,RANK(CN135,$CN$111:$CN$300),""),""),"")</f>
        <v>13</v>
      </c>
      <c s="75">
        <f>IF(ISERROR(VLOOKUP(CV135,$AL$8:$AL$15,1,FALSE))=TRUE,IF(AND(ISERROR(FIND("NeighMkt",$CX$102))=FALSE,LEFT($CW$111,10)="ALL OUTLET",$CA135&lt;&gt;"",DJ135&lt;&gt;""),"",IF(AND($CV135&lt;&gt;$CW135,$CW135=CP$110),$DJ135,"")),"")</f>
      </c>
      <c s="76">
        <f>IF(ISERROR(VLOOKUP(CV135,$AL$8:$AL$15,1,FALSE))=TRUE,IF(CP135&lt;&gt;"",IF(CP135&gt;0,RANK(CP135,$CP$111:$CP$300),""),""),"")</f>
      </c>
      <c s="75">
        <f>IF(ISERROR(VLOOKUP(CV135,$AL$8:$AL$15,1,FALSE))=TRUE,IF(AND(ISERROR(FIND("NeighMkt",$CX$102))=FALSE,LEFT($CW$111,10)="ALL OUTLET",$CA135&lt;&gt;"",DJ135&lt;&gt;""),"",IF(AND($CV135&lt;&gt;$CW135,$CW135=CR$110),$DJ135,"")),"")</f>
      </c>
      <c s="76">
        <f>IF(ISERROR(VLOOKUP(CV135,$AL$8:$AL$15,1,FALSE))=TRUE,IF(CR135&lt;&gt;"",IF(CR135&gt;0,RANK(CR135,$CR$111:$CR$300),""),""),"")</f>
      </c>
      <c s="75">
        <f>IF(ISERROR(VLOOKUP(CV135,$AL$8:$AL$15,1,FALSE))=TRUE,IF(AND(ISERROR(FIND("NeighMkt",$CX$102))=FALSE,LEFT($CW$111,10)="ALL OUTLET",$CA135&lt;&gt;"",DJ135&lt;&gt;""),"",IF($Z$4="",IF(AND($CV135&lt;&gt;$CW135,$CW135=CT$110),$DJ135,""),IF(AND($CV135&lt;&gt;$CW135,$CW135&lt;&gt;CN$110,$CW135&lt;&gt;CP$110,$CW135&lt;&gt;CR$110,$CW135&lt;&gt;$CV$111),$DJ135,""))),"")</f>
      </c>
      <c s="76">
        <f>IF(ISERROR(VLOOKUP(CV135,$AL$8:$AL$15,1,FALSE))=TRUE,IF(CT135&lt;&gt;"",IF(CT135&gt;0,RANK(CT135,$CT$111:$CT$300),""),""),"")</f>
      </c>
      <c s="65" t="str">
        <f t="shared" si="2"/>
        <v>Albertsons</v>
      </c>
      <c s="65" t="str">
        <f t="shared" si="3"/>
        <v>GroceryX</v>
      </c>
      <c s="72" t="str">
        <f>IF('[1]Leakage Tree Data'!A34&lt;&gt;"",'[1]Leakage Tree Data'!A34,"")</f>
        <v>Total US - Albertsons</v>
      </c>
      <c s="72" t="str">
        <f>IF('[1]Leakage Tree Data'!B34&lt;&gt;"",'[1]Leakage Tree Data'!B34,"")</f>
        <v>Total US - GroceryX</v>
      </c>
      <c s="72">
        <f>IF('[1]Leakage Tree Data'!C34&lt;&gt;"",'[1]Leakage Tree Data'!C34,"")</f>
        <v>121171760.292236</v>
      </c>
      <c s="72">
        <f>IF('[1]Leakage Tree Data'!D34&lt;&gt;"",'[1]Leakage Tree Data'!D34,"")</f>
        <v>10854346.4588623</v>
      </c>
      <c s="72">
        <f>IF('[1]Leakage Tree Data'!E34&lt;&gt;"",'[1]Leakage Tree Data'!E34,"")</f>
        <v>8.95781858139578</v>
      </c>
      <c s="72">
        <f>IF('[1]Leakage Tree Data'!F34&lt;&gt;"",'[1]Leakage Tree Data'!F34,"")</f>
        <v>110317413.833374</v>
      </c>
      <c s="72">
        <f>IF('[1]Leakage Tree Data'!G34&lt;&gt;"",'[1]Leakage Tree Data'!G34,"")</f>
        <v>91.0421814186042</v>
      </c>
      <c s="72">
        <f>IF('[1]Leakage Tree Data'!H34&lt;&gt;"",'[1]Leakage Tree Data'!H34,"")</f>
        <v>61518209.9918823</v>
      </c>
      <c s="72" t="str">
        <f>IF('[1]Leakage Tree Data'!I34&lt;&gt;"",'[1]Leakage Tree Data'!I34,"")</f>
        <v>GroceryX</v>
      </c>
      <c s="72">
        <f>IF('[1]Leakage Tree Data'!J34&lt;&gt;"",'[1]Leakage Tree Data'!J34,"")</f>
        <v>98.1698851870579</v>
      </c>
      <c s="72">
        <f>IF('[1]Leakage Tree Data'!K34&lt;&gt;"",'[1]Leakage Tree Data'!K34,"")</f>
        <v>1125853.87371826</v>
      </c>
      <c s="72">
        <f>IF('[1]Leakage Tree Data'!L34&lt;&gt;"",'[1]Leakage Tree Data'!L34,"")</f>
        <v>2645514.15057373</v>
      </c>
      <c s="72">
        <f>IF('[1]Leakage Tree Data'!M34&lt;&gt;"",'[1]Leakage Tree Data'!M34,"")</f>
        <v>9334064.06549072</v>
      </c>
      <c s="72">
        <f>IF('[1]Leakage Tree Data'!N34&lt;&gt;"",'[1]Leakage Tree Data'!N34,"")</f>
        <v>2645514.15057373</v>
      </c>
      <c s="72">
        <f>IF('[1]Leakage Tree Data'!O34&lt;&gt;"",'[1]Leakage Tree Data'!O34,"")</f>
        <v>17.925755156572</v>
      </c>
      <c s="72">
        <f>IF('[1]Leakage Tree Data'!P34&lt;&gt;"",'[1]Leakage Tree Data'!P34,"")</f>
        <v>2041012.14365937</v>
      </c>
      <c s="72">
        <f>IF('[1]Leakage Tree Data'!Q34&lt;&gt;"",'[1]Leakage Tree Data'!Q34,"")</f>
      </c>
      <c s="72">
        <f>IF('[1]Leakage Tree Data'!R34&lt;&gt;"",'[1]Leakage Tree Data'!R34,"")</f>
        <v>1017625.85098267</v>
      </c>
      <c s="72">
        <f>IF('[1]Leakage Tree Data'!S34&lt;&gt;"",'[1]Leakage Tree Data'!S34,"")</f>
        <v>-785411.630859375</v>
      </c>
      <c s="72">
        <f>IF('[1]Leakage Tree Data'!T34&lt;&gt;"",'[1]Leakage Tree Data'!T34,"")</f>
        <v>-0.729536867377929</v>
      </c>
      <c s="72">
        <f>IF('[1]Leakage Tree Data'!U34&lt;&gt;"",'[1]Leakage Tree Data'!U34,"")</f>
        <v>1803037.48184204</v>
      </c>
      <c s="72">
        <f>IF('[1]Leakage Tree Data'!V34&lt;&gt;"",'[1]Leakage Tree Data'!V34,"")</f>
        <v>0.729536867377931</v>
      </c>
      <c s="72">
        <f>IF('[1]Leakage Tree Data'!W34&lt;&gt;"",'[1]Leakage Tree Data'!W34,"")</f>
        <v>-1855949.2237854</v>
      </c>
      <c s="72">
        <f>IF('[1]Leakage Tree Data'!X34&lt;&gt;"",'[1]Leakage Tree Data'!X34,"")</f>
      </c>
      <c s="72">
        <f>IF('[1]Leakage Tree Data'!Y34&lt;&gt;"",'[1]Leakage Tree Data'!Y34,"")</f>
        <v>0.544891333319427</v>
      </c>
      <c s="72">
        <f>IF('[1]Leakage Tree Data'!Z34&lt;&gt;"",'[1]Leakage Tree Data'!Z34,"")</f>
        <v>-379286.30279541</v>
      </c>
      <c s="72">
        <f>IF('[1]Leakage Tree Data'!AA34&lt;&gt;"",'[1]Leakage Tree Data'!AA34,"")</f>
        <v>-2563501.14738846</v>
      </c>
      <c s="72">
        <f>IF('[1]Leakage Tree Data'!AB34&lt;&gt;"",'[1]Leakage Tree Data'!AB34,"")</f>
        <v>-3027732.43192863</v>
      </c>
      <c s="72">
        <f>IF('[1]Leakage Tree Data'!AC34&lt;&gt;"",'[1]Leakage Tree Data'!AC34,"")</f>
        <v>-2563501.14738846</v>
      </c>
      <c s="72">
        <f>IF('[1]Leakage Tree Data'!AD34&lt;&gt;"",'[1]Leakage Tree Data'!AD34,"")</f>
        <v>-3.27403290101607</v>
      </c>
      <c s="72">
        <f>IF('[1]Leakage Tree Data'!AE34&lt;&gt;"",'[1]Leakage Tree Data'!AE34,"")</f>
      </c>
      <c s="73">
        <f t="shared" si="4"/>
      </c>
      <c s="73">
        <f t="shared" si="5"/>
      </c>
      <c s="73">
        <f t="shared" si="6"/>
      </c>
      <c s="73">
        <f t="shared" si="7"/>
      </c>
      <c s="74">
        <f t="shared" si="8"/>
      </c>
      <c s="74">
        <f t="shared" si="9"/>
      </c>
      <c s="69" t="str">
        <f t="shared" si="0"/>
        <v>Total US - Albertsons</v>
      </c>
      <c s="69" t="str">
        <f t="shared" si="1"/>
        <v>Total US - GroceryX</v>
      </c>
      <c s="77"/>
    </row>
    <row r="136" spans="1:141" ht="15">
      <c r="A1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136,$AL$8:$AL$15,1,FALSE))=TRUE,IF(AND(CV136=CW136,CV136&lt;&gt;"",DI$111&lt;&gt;"",DK136&lt;&gt;""),IF(CW$101="Y",DK136-IF(ISERROR(VLOOKUP(CV136,$CA$113:$DK$300,37,FALSE))=TRUE,0,IF(VLOOKUP(CV136,$CA$113:$DK$300,37,FALSE)="",0,VLOOKUP(CV136,$CA$113:$DK$300,37,FALSE))),DK136-IF(AND(CW$102="Y",CV136=$CW$111),DI$111,0)),""),"")</f>
      </c>
      <c s="76">
        <f>IF(ISERROR(VLOOKUP(CV136,$AL$8:$AL$15,1,FALSE))=TRUE,IF(CB136&lt;&gt;"",IF(CB136&gt;0,IF(Z$4&lt;&gt;"",MIN(4,RANK(CB136,$CB$111:$CB$300)),RANK(CB136,$CB$111:$CB$300)),""),""),"")</f>
      </c>
      <c s="75">
        <f>IF(ISERROR(VLOOKUP(CV136,$AL$8:$AL$15,1,FALSE))=TRUE,IF(AND(ISERROR(FIND("NeighMkt",$CX$102))=FALSE,LEFT($CW$111,10)="ALL OUTLET",$CA136&lt;&gt;"",DK136&lt;&gt;""),"",IF(AND($CV136&lt;&gt;$CW136,$CW136=CD$110),$DK136,"")),"")</f>
        <v>2258250.69799805</v>
      </c>
      <c s="76">
        <f>IF(ISERROR(VLOOKUP(CV136,$AL$8:$AL$15,1,FALSE))=TRUE,IF(CD136&lt;&gt;"",IF(CD136&gt;0,RANK(CD136,$CD$111:$CD$300),""),""),"")</f>
        <v>20</v>
      </c>
      <c s="75">
        <f>IF(ISERROR(VLOOKUP(CV136,$AL$8:$AL$15,1,FALSE))=TRUE,IF(AND(ISERROR(FIND("NeighMkt",$CX$102))=FALSE,LEFT($CW$111,10)="ALL OUTLET",$CA136&lt;&gt;"",DK136&lt;&gt;""),"",IF(AND($CV136&lt;&gt;$CW136,$CW136=CF$110),$DK136,"")),"")</f>
      </c>
      <c s="76">
        <f>IF(ISERROR(VLOOKUP(CV136,$AL$8:$AL$15,1,FALSE))=TRUE,IF(CF136&lt;&gt;"",IF(CF136&gt;0,RANK(CF136,$CF$111:$CF$300),""),""),"")</f>
      </c>
      <c s="75">
        <f>IF(ISERROR(VLOOKUP(CV136,$AL$8:$AL$15,1,FALSE))=TRUE,IF(AND(ISERROR(FIND("NeighMkt",$CX$102))=FALSE,LEFT($CW$111,10)="ALL OUTLET",$CA136&lt;&gt;"",DK136&lt;&gt;""),"",IF(AND($CV136&lt;&gt;$CW136,$CW136=CH$110),$DK136,"")),"")</f>
      </c>
      <c s="76">
        <f>IF(ISERROR(VLOOKUP(CV136,$AL$8:$AL$15,1,FALSE))=TRUE,IF(CH136&lt;&gt;"",IF(CH136&gt;0,RANK(CH136,$CH$111:$CH$300),""),""),"")</f>
      </c>
      <c s="75">
        <f>IF(ISERROR(VLOOKUP(CV136,$AL$8:$AL$15,1,FALSE))=TRUE,IF(AND(ISERROR(FIND("NeighMkt",$CX$102))=FALSE,LEFT($CW$111,10)="ALL OUTLET",$CA136&lt;&gt;"",DK136&lt;&gt;""),"",IF($Z$4="",IF(AND($CV136&lt;&gt;$CW136,$CW136=CJ$110),$DK136,""),IF(AND($CV136&lt;&gt;$CW136,$CW136&lt;&gt;CD$110,$CW136&lt;&gt;CF$110,$CW136&lt;&gt;CH$110,$CW136&lt;&gt;$CV$111),$DK136,""))),"")</f>
      </c>
      <c s="76">
        <f>IF(ISERROR(VLOOKUP(CV136,$AL$8:$AL$15,1,FALSE))=TRUE,IF(CJ136&lt;&gt;"",IF(CJ136&gt;0,RANK(CJ136,$CJ$111:$CJ$300),""),""),"")</f>
      </c>
      <c s="75">
        <f>IF(ISERROR(VLOOKUP(CV136,$AL$8:$AL$15,1,FALSE))=TRUE,IF(AND(CV136=CW136,CV136&lt;&gt;"",DJ136&lt;&gt;""),IF(AND(ISERROR(FIND("NeighMkt",$CX$102))=FALSE,LEFT($CW$111,10)="ALL OUTLET"),DJ136-IF(ISERROR(VLOOKUP(CV136,$CA$113:$DK$300,36,FALSE))=TRUE,0,IF(VLOOKUP(CV136,$CA$113:$DK$300,36,FALSE)="",0,VLOOKUP(CV136,$CA$113:$DK$300,36,FALSE))),DJ136),""),"")</f>
      </c>
      <c s="76">
        <f>IF(ISERROR(VLOOKUP(CV136,$AL$8:$AL$15,1,FALSE))=TRUE,IF(CL136&lt;&gt;"",IF(CL136&gt;0,IF($Z$4&lt;&gt;"",MIN(4,RANK(CL136,$CL$111:$CL$300)),RANK(CL136,$CL$111:$CL$300)),""),""),"")</f>
      </c>
      <c s="75">
        <f>IF(ISERROR(VLOOKUP(CV136,$AL$8:$AL$15,1,FALSE))=TRUE,IF(AND(ISERROR(FIND("NeighMkt",$CX$102))=FALSE,LEFT($CW$111,10)="ALL OUTLET",$CA136&lt;&gt;"",DJ136&lt;&gt;""),"",IF(AND($CV136&lt;&gt;$CW136,$CW136=CN$110),$DJ136,"")),"")</f>
        <v>7887505.48884583</v>
      </c>
      <c s="76">
        <f>IF(ISERROR(VLOOKUP(CV136,$AL$8:$AL$15,1,FALSE))=TRUE,IF(CN136&lt;&gt;"",IF(CN136&gt;0,RANK(CN136,$CN$111:$CN$300),""),""),"")</f>
        <v>18</v>
      </c>
      <c s="75">
        <f>IF(ISERROR(VLOOKUP(CV136,$AL$8:$AL$15,1,FALSE))=TRUE,IF(AND(ISERROR(FIND("NeighMkt",$CX$102))=FALSE,LEFT($CW$111,10)="ALL OUTLET",$CA136&lt;&gt;"",DJ136&lt;&gt;""),"",IF(AND($CV136&lt;&gt;$CW136,$CW136=CP$110),$DJ136,"")),"")</f>
      </c>
      <c s="76">
        <f>IF(ISERROR(VLOOKUP(CV136,$AL$8:$AL$15,1,FALSE))=TRUE,IF(CP136&lt;&gt;"",IF(CP136&gt;0,RANK(CP136,$CP$111:$CP$300),""),""),"")</f>
      </c>
      <c s="75">
        <f>IF(ISERROR(VLOOKUP(CV136,$AL$8:$AL$15,1,FALSE))=TRUE,IF(AND(ISERROR(FIND("NeighMkt",$CX$102))=FALSE,LEFT($CW$111,10)="ALL OUTLET",$CA136&lt;&gt;"",DJ136&lt;&gt;""),"",IF(AND($CV136&lt;&gt;$CW136,$CW136=CR$110),$DJ136,"")),"")</f>
      </c>
      <c s="76">
        <f>IF(ISERROR(VLOOKUP(CV136,$AL$8:$AL$15,1,FALSE))=TRUE,IF(CR136&lt;&gt;"",IF(CR136&gt;0,RANK(CR136,$CR$111:$CR$300),""),""),"")</f>
      </c>
      <c s="75">
        <f>IF(ISERROR(VLOOKUP(CV136,$AL$8:$AL$15,1,FALSE))=TRUE,IF(AND(ISERROR(FIND("NeighMkt",$CX$102))=FALSE,LEFT($CW$111,10)="ALL OUTLET",$CA136&lt;&gt;"",DJ136&lt;&gt;""),"",IF($Z$4="",IF(AND($CV136&lt;&gt;$CW136,$CW136=CT$110),$DJ136,""),IF(AND($CV136&lt;&gt;$CW136,$CW136&lt;&gt;CN$110,$CW136&lt;&gt;CP$110,$CW136&lt;&gt;CR$110,$CW136&lt;&gt;$CV$111),$DJ136,""))),"")</f>
      </c>
      <c s="76">
        <f>IF(ISERROR(VLOOKUP(CV136,$AL$8:$AL$15,1,FALSE))=TRUE,IF(CT136&lt;&gt;"",IF(CT136&gt;0,RANK(CT136,$CT$111:$CT$300),""),""),"")</f>
      </c>
      <c s="65" t="str">
        <f t="shared" si="2"/>
        <v>Aldi</v>
      </c>
      <c s="65" t="str">
        <f t="shared" si="3"/>
        <v>GroceryX</v>
      </c>
      <c s="72" t="str">
        <f>IF('[1]Leakage Tree Data'!A35&lt;&gt;"",'[1]Leakage Tree Data'!A35,"")</f>
        <v>Total US - Aldi</v>
      </c>
      <c s="72" t="str">
        <f>IF('[1]Leakage Tree Data'!B35&lt;&gt;"",'[1]Leakage Tree Data'!B35,"")</f>
        <v>Total US - GroceryX</v>
      </c>
      <c s="72">
        <f>IF('[1]Leakage Tree Data'!C35&lt;&gt;"",'[1]Leakage Tree Data'!C35,"")</f>
        <v>121171760.292236</v>
      </c>
      <c s="72">
        <f>IF('[1]Leakage Tree Data'!D35&lt;&gt;"",'[1]Leakage Tree Data'!D35,"")</f>
        <v>26503214.0120239</v>
      </c>
      <c s="72">
        <f>IF('[1]Leakage Tree Data'!E35&lt;&gt;"",'[1]Leakage Tree Data'!E35,"")</f>
        <v>21.8724345904563</v>
      </c>
      <c s="72">
        <f>IF('[1]Leakage Tree Data'!F35&lt;&gt;"",'[1]Leakage Tree Data'!F35,"")</f>
        <v>94668546.2802124</v>
      </c>
      <c s="72">
        <f>IF('[1]Leakage Tree Data'!G35&lt;&gt;"",'[1]Leakage Tree Data'!G35,"")</f>
        <v>78.1275654095437</v>
      </c>
      <c s="72">
        <f>IF('[1]Leakage Tree Data'!H35&lt;&gt;"",'[1]Leakage Tree Data'!H35,"")</f>
        <v>61518209.9918823</v>
      </c>
      <c s="72" t="str">
        <f>IF('[1]Leakage Tree Data'!I35&lt;&gt;"",'[1]Leakage Tree Data'!I35,"")</f>
        <v>GroceryX</v>
      </c>
      <c s="72">
        <f>IF('[1]Leakage Tree Data'!J35&lt;&gt;"",'[1]Leakage Tree Data'!J35,"")</f>
        <v>97.7138515847417</v>
      </c>
      <c s="72">
        <f>IF('[1]Leakage Tree Data'!K35&lt;&gt;"",'[1]Leakage Tree Data'!K35,"")</f>
        <v>1406397.58282471</v>
      </c>
      <c s="72">
        <f>IF('[1]Leakage Tree Data'!L35&lt;&gt;"",'[1]Leakage Tree Data'!L35,"")</f>
        <v>2258250.69799805</v>
      </c>
      <c s="72">
        <f>IF('[1]Leakage Tree Data'!M35&lt;&gt;"",'[1]Leakage Tree Data'!M35,"")</f>
        <v>7887505.48884583</v>
      </c>
      <c s="72">
        <f>IF('[1]Leakage Tree Data'!N35&lt;&gt;"",'[1]Leakage Tree Data'!N35,"")</f>
        <v>2258250.69799805</v>
      </c>
      <c s="72">
        <f>IF('[1]Leakage Tree Data'!O35&lt;&gt;"",'[1]Leakage Tree Data'!O35,"")</f>
        <v>10.0990621694951</v>
      </c>
      <c s="72">
        <f>IF('[1]Leakage Tree Data'!P35&lt;&gt;"",'[1]Leakage Tree Data'!P35,"")</f>
        <v>1833963.81307837</v>
      </c>
      <c s="72">
        <f>IF('[1]Leakage Tree Data'!Q35&lt;&gt;"",'[1]Leakage Tree Data'!Q35,"")</f>
      </c>
      <c s="72">
        <f>IF('[1]Leakage Tree Data'!R35&lt;&gt;"",'[1]Leakage Tree Data'!R35,"")</f>
        <v>1017625.85098267</v>
      </c>
      <c s="72">
        <f>IF('[1]Leakage Tree Data'!S35&lt;&gt;"",'[1]Leakage Tree Data'!S35,"")</f>
        <v>1529368.64562988</v>
      </c>
      <c s="72">
        <f>IF('[1]Leakage Tree Data'!T35&lt;&gt;"",'[1]Leakage Tree Data'!T35,"")</f>
        <v>1.08759395011667</v>
      </c>
      <c s="72">
        <f>IF('[1]Leakage Tree Data'!U35&lt;&gt;"",'[1]Leakage Tree Data'!U35,"")</f>
        <v>-511742.794647217</v>
      </c>
      <c s="72">
        <f>IF('[1]Leakage Tree Data'!V35&lt;&gt;"",'[1]Leakage Tree Data'!V35,"")</f>
        <v>-1.08759395011666</v>
      </c>
      <c s="72">
        <f>IF('[1]Leakage Tree Data'!W35&lt;&gt;"",'[1]Leakage Tree Data'!W35,"")</f>
        <v>-1855949.2237854</v>
      </c>
      <c s="72">
        <f>IF('[1]Leakage Tree Data'!X35&lt;&gt;"",'[1]Leakage Tree Data'!X35,"")</f>
      </c>
      <c s="72">
        <f>IF('[1]Leakage Tree Data'!Y35&lt;&gt;"",'[1]Leakage Tree Data'!Y35,"")</f>
        <v>0.0336746115504241</v>
      </c>
      <c s="72">
        <f>IF('[1]Leakage Tree Data'!Z35&lt;&gt;"",'[1]Leakage Tree Data'!Z35,"")</f>
        <v>-63770.7557067871</v>
      </c>
      <c s="72">
        <f>IF('[1]Leakage Tree Data'!AA35&lt;&gt;"",'[1]Leakage Tree Data'!AA35,"")</f>
        <v>-152850.542480469</v>
      </c>
      <c s="72">
        <f>IF('[1]Leakage Tree Data'!AB35&lt;&gt;"",'[1]Leakage Tree Data'!AB35,"")</f>
        <v>-1758864.33274841</v>
      </c>
      <c s="72">
        <f>IF('[1]Leakage Tree Data'!AC35&lt;&gt;"",'[1]Leakage Tree Data'!AC35,"")</f>
        <v>-152850.542480469</v>
      </c>
      <c s="72">
        <f>IF('[1]Leakage Tree Data'!AD35&lt;&gt;"",'[1]Leakage Tree Data'!AD35,"")</f>
        <v>-1.45663774223306</v>
      </c>
      <c s="72">
        <f>IF('[1]Leakage Tree Data'!AE35&lt;&gt;"",'[1]Leakage Tree Data'!AE35,"")</f>
      </c>
      <c s="73">
        <f t="shared" si="4"/>
      </c>
      <c s="73">
        <f t="shared" si="5"/>
      </c>
      <c s="73">
        <f t="shared" si="6"/>
      </c>
      <c s="73">
        <f t="shared" si="7"/>
      </c>
      <c s="74">
        <f t="shared" si="8"/>
      </c>
      <c s="74">
        <f t="shared" si="9"/>
      </c>
      <c s="69" t="str">
        <f t="shared" si="0"/>
        <v>Total US - Aldi</v>
      </c>
      <c s="69" t="str">
        <f t="shared" si="1"/>
        <v>Total US - GroceryX</v>
      </c>
      <c s="77"/>
    </row>
    <row r="137" spans="1:141" ht="15">
      <c r="A1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137,$AL$8:$AL$15,1,FALSE))=TRUE,IF(AND(CV137=CW137,CV137&lt;&gt;"",DI$111&lt;&gt;"",DK137&lt;&gt;""),IF(CW$101="Y",DK137-IF(ISERROR(VLOOKUP(CV137,$CA$113:$DK$300,37,FALSE))=TRUE,0,IF(VLOOKUP(CV137,$CA$113:$DK$300,37,FALSE)="",0,VLOOKUP(CV137,$CA$113:$DK$300,37,FALSE))),DK137-IF(AND(CW$102="Y",CV137=$CW$111),DI$111,0)),""),"")</f>
      </c>
      <c s="76">
        <f>IF(ISERROR(VLOOKUP(CV137,$AL$8:$AL$15,1,FALSE))=TRUE,IF(CB137&lt;&gt;"",IF(CB137&gt;0,IF(Z$4&lt;&gt;"",MIN(4,RANK(CB137,$CB$111:$CB$300)),RANK(CB137,$CB$111:$CB$300)),""),""),"")</f>
      </c>
      <c s="75">
        <f>IF(ISERROR(VLOOKUP(CV137,$AL$8:$AL$15,1,FALSE))=TRUE,IF(AND(ISERROR(FIND("NeighMkt",$CX$102))=FALSE,LEFT($CW$111,10)="ALL OUTLET",$CA137&lt;&gt;"",DK137&lt;&gt;""),"",IF(AND($CV137&lt;&gt;$CW137,$CW137=CD$110),$DK137,"")),"")</f>
      </c>
      <c s="76">
        <f>IF(ISERROR(VLOOKUP(CV137,$AL$8:$AL$15,1,FALSE))=TRUE,IF(CD137&lt;&gt;"",IF(CD137&gt;0,RANK(CD137,$CD$111:$CD$300),""),""),"")</f>
      </c>
      <c s="75">
        <f>IF(ISERROR(VLOOKUP(CV137,$AL$8:$AL$15,1,FALSE))=TRUE,IF(AND(ISERROR(FIND("NeighMkt",$CX$102))=FALSE,LEFT($CW$111,10)="ALL OUTLET",$CA137&lt;&gt;"",DK137&lt;&gt;""),"",IF(AND($CV137&lt;&gt;$CW137,$CW137=CF$110),$DK137,"")),"")</f>
      </c>
      <c s="76">
        <f>IF(ISERROR(VLOOKUP(CV137,$AL$8:$AL$15,1,FALSE))=TRUE,IF(CF137&lt;&gt;"",IF(CF137&gt;0,RANK(CF137,$CF$111:$CF$300),""),""),"")</f>
      </c>
      <c s="75">
        <f>IF(ISERROR(VLOOKUP(CV137,$AL$8:$AL$15,1,FALSE))=TRUE,IF(AND(ISERROR(FIND("NeighMkt",$CX$102))=FALSE,LEFT($CW$111,10)="ALL OUTLET",$CA137&lt;&gt;"",DK137&lt;&gt;""),"",IF(AND($CV137&lt;&gt;$CW137,$CW137=CH$110),$DK137,"")),"")</f>
      </c>
      <c s="76">
        <f>IF(ISERROR(VLOOKUP(CV137,$AL$8:$AL$15,1,FALSE))=TRUE,IF(CH137&lt;&gt;"",IF(CH137&gt;0,RANK(CH137,$CH$111:$CH$300),""),""),"")</f>
      </c>
      <c s="75">
        <f>IF(ISERROR(VLOOKUP(CV137,$AL$8:$AL$15,1,FALSE))=TRUE,IF(AND(ISERROR(FIND("NeighMkt",$CX$102))=FALSE,LEFT($CW$111,10)="ALL OUTLET",$CA137&lt;&gt;"",DK137&lt;&gt;""),"",IF($Z$4="",IF(AND($CV137&lt;&gt;$CW137,$CW137=CJ$110),$DK137,""),IF(AND($CV137&lt;&gt;$CW137,$CW137&lt;&gt;CD$110,$CW137&lt;&gt;CF$110,$CW137&lt;&gt;CH$110,$CW137&lt;&gt;$CV$111),$DK137,""))),"")</f>
      </c>
      <c s="76">
        <f>IF(ISERROR(VLOOKUP(CV137,$AL$8:$AL$15,1,FALSE))=TRUE,IF(CJ137&lt;&gt;"",IF(CJ137&gt;0,RANK(CJ137,$CJ$111:$CJ$300),""),""),"")</f>
      </c>
      <c s="75">
        <f>IF(ISERROR(VLOOKUP(CV137,$AL$8:$AL$15,1,FALSE))=TRUE,IF(AND(CV137=CW137,CV137&lt;&gt;"",DJ137&lt;&gt;""),IF(AND(ISERROR(FIND("NeighMkt",$CX$102))=FALSE,LEFT($CW$111,10)="ALL OUTLET"),DJ137-IF(ISERROR(VLOOKUP(CV137,$CA$113:$DK$300,36,FALSE))=TRUE,0,IF(VLOOKUP(CV137,$CA$113:$DK$300,36,FALSE)="",0,VLOOKUP(CV137,$CA$113:$DK$300,36,FALSE))),DJ137),""),"")</f>
      </c>
      <c s="76">
        <f>IF(ISERROR(VLOOKUP(CV137,$AL$8:$AL$15,1,FALSE))=TRUE,IF(CL137&lt;&gt;"",IF(CL137&gt;0,IF($Z$4&lt;&gt;"",MIN(4,RANK(CL137,$CL$111:$CL$300)),RANK(CL137,$CL$111:$CL$300)),""),""),"")</f>
      </c>
      <c s="75">
        <f>IF(ISERROR(VLOOKUP(CV137,$AL$8:$AL$15,1,FALSE))=TRUE,IF(AND(ISERROR(FIND("NeighMkt",$CX$102))=FALSE,LEFT($CW$111,10)="ALL OUTLET",$CA137&lt;&gt;"",DJ137&lt;&gt;""),"",IF(AND($CV137&lt;&gt;$CW137,$CW137=CN$110),$DJ137,"")),"")</f>
        <v>6092387.56130981</v>
      </c>
      <c s="76">
        <f>IF(ISERROR(VLOOKUP(CV137,$AL$8:$AL$15,1,FALSE))=TRUE,IF(CN137&lt;&gt;"",IF(CN137&gt;0,RANK(CN137,$CN$111:$CN$300),""),""),"")</f>
        <v>25</v>
      </c>
      <c s="75">
        <f>IF(ISERROR(VLOOKUP(CV137,$AL$8:$AL$15,1,FALSE))=TRUE,IF(AND(ISERROR(FIND("NeighMkt",$CX$102))=FALSE,LEFT($CW$111,10)="ALL OUTLET",$CA137&lt;&gt;"",DJ137&lt;&gt;""),"",IF(AND($CV137&lt;&gt;$CW137,$CW137=CP$110),$DJ137,"")),"")</f>
      </c>
      <c s="76">
        <f>IF(ISERROR(VLOOKUP(CV137,$AL$8:$AL$15,1,FALSE))=TRUE,IF(CP137&lt;&gt;"",IF(CP137&gt;0,RANK(CP137,$CP$111:$CP$300),""),""),"")</f>
      </c>
      <c s="75">
        <f>IF(ISERROR(VLOOKUP(CV137,$AL$8:$AL$15,1,FALSE))=TRUE,IF(AND(ISERROR(FIND("NeighMkt",$CX$102))=FALSE,LEFT($CW$111,10)="ALL OUTLET",$CA137&lt;&gt;"",DJ137&lt;&gt;""),"",IF(AND($CV137&lt;&gt;$CW137,$CW137=CR$110),$DJ137,"")),"")</f>
      </c>
      <c s="76">
        <f>IF(ISERROR(VLOOKUP(CV137,$AL$8:$AL$15,1,FALSE))=TRUE,IF(CR137&lt;&gt;"",IF(CR137&gt;0,RANK(CR137,$CR$111:$CR$300),""),""),"")</f>
      </c>
      <c s="75">
        <f>IF(ISERROR(VLOOKUP(CV137,$AL$8:$AL$15,1,FALSE))=TRUE,IF(AND(ISERROR(FIND("NeighMkt",$CX$102))=FALSE,LEFT($CW$111,10)="ALL OUTLET",$CA137&lt;&gt;"",DJ137&lt;&gt;""),"",IF($Z$4="",IF(AND($CV137&lt;&gt;$CW137,$CW137=CT$110),$DJ137,""),IF(AND($CV137&lt;&gt;$CW137,$CW137&lt;&gt;CN$110,$CW137&lt;&gt;CP$110,$CW137&lt;&gt;CR$110,$CW137&lt;&gt;$CV$111),$DJ137,""))),"")</f>
      </c>
      <c s="76">
        <f>IF(ISERROR(VLOOKUP(CV137,$AL$8:$AL$15,1,FALSE))=TRUE,IF(CT137&lt;&gt;"",IF(CT137&gt;0,RANK(CT137,$CT$111:$CT$300),""),""),"")</f>
      </c>
      <c s="65" t="str">
        <f t="shared" si="2"/>
        <v>BI Lo</v>
      </c>
      <c s="65" t="str">
        <f t="shared" si="3"/>
        <v>GroceryX</v>
      </c>
      <c s="72" t="str">
        <f>IF('[1]Leakage Tree Data'!A36&lt;&gt;"",'[1]Leakage Tree Data'!A36,"")</f>
        <v>Total US - BI Lo</v>
      </c>
      <c s="72" t="str">
        <f>IF('[1]Leakage Tree Data'!B36&lt;&gt;"",'[1]Leakage Tree Data'!B36,"")</f>
        <v>Total US - GroceryX</v>
      </c>
      <c s="72">
        <f>IF('[1]Leakage Tree Data'!C36&lt;&gt;"",'[1]Leakage Tree Data'!C36,"")</f>
        <v>121171760.292236</v>
      </c>
      <c s="72">
        <f>IF('[1]Leakage Tree Data'!D36&lt;&gt;"",'[1]Leakage Tree Data'!D36,"")</f>
        <v>2420141.44134521</v>
      </c>
      <c s="72">
        <f>IF('[1]Leakage Tree Data'!E36&lt;&gt;"",'[1]Leakage Tree Data'!E36,"")</f>
        <v>1.99728173916796</v>
      </c>
      <c s="72">
        <f>IF('[1]Leakage Tree Data'!F36&lt;&gt;"",'[1]Leakage Tree Data'!F36,"")</f>
        <v>118751618.850891</v>
      </c>
      <c s="72">
        <f>IF('[1]Leakage Tree Data'!G36&lt;&gt;"",'[1]Leakage Tree Data'!G36,"")</f>
        <v>98.002718260832</v>
      </c>
      <c s="72">
        <f>IF('[1]Leakage Tree Data'!H36&lt;&gt;"",'[1]Leakage Tree Data'!H36,"")</f>
        <v>61518209.9918823</v>
      </c>
      <c s="72" t="str">
        <f>IF('[1]Leakage Tree Data'!I36&lt;&gt;"",'[1]Leakage Tree Data'!I36,"")</f>
        <v>GroceryX</v>
      </c>
      <c s="72">
        <f>IF('[1]Leakage Tree Data'!J36&lt;&gt;"",'[1]Leakage Tree Data'!J36,"")</f>
        <v>99.3030707553149</v>
      </c>
      <c s="72">
        <f>IF('[1]Leakage Tree Data'!K36&lt;&gt;"",'[1]Leakage Tree Data'!K36,"")</f>
        <v>428738.396240234</v>
      </c>
      <c s="72">
        <f>IF('[1]Leakage Tree Data'!L36&lt;&gt;"",'[1]Leakage Tree Data'!L36,"")</f>
      </c>
      <c s="72">
        <f>IF('[1]Leakage Tree Data'!M36&lt;&gt;"",'[1]Leakage Tree Data'!M36,"")</f>
        <v>6092387.56130981</v>
      </c>
      <c s="72">
        <f>IF('[1]Leakage Tree Data'!N36&lt;&gt;"",'[1]Leakage Tree Data'!N36,"")</f>
      </c>
      <c s="72">
        <f>IF('[1]Leakage Tree Data'!O36&lt;&gt;"",'[1]Leakage Tree Data'!O36,"")</f>
        <v>35.9551970659519</v>
      </c>
      <c s="72">
        <f>IF('[1]Leakage Tree Data'!P36&lt;&gt;"",'[1]Leakage Tree Data'!P36,"")</f>
        <v>519610.589087687</v>
      </c>
      <c s="72">
        <f>IF('[1]Leakage Tree Data'!Q36&lt;&gt;"",'[1]Leakage Tree Data'!Q36,"")</f>
      </c>
      <c s="72">
        <f>IF('[1]Leakage Tree Data'!R36&lt;&gt;"",'[1]Leakage Tree Data'!R36,"")</f>
        <v>1017625.85098267</v>
      </c>
      <c s="72">
        <f>IF('[1]Leakage Tree Data'!S36&lt;&gt;"",'[1]Leakage Tree Data'!S36,"")</f>
        <v>-99463.617980957</v>
      </c>
      <c s="72">
        <f>IF('[1]Leakage Tree Data'!T36&lt;&gt;"",'[1]Leakage Tree Data'!T36,"")</f>
        <v>-0.0996956732556327</v>
      </c>
      <c s="72">
        <f>IF('[1]Leakage Tree Data'!U36&lt;&gt;"",'[1]Leakage Tree Data'!U36,"")</f>
        <v>1117089.46896362</v>
      </c>
      <c s="72">
        <f>IF('[1]Leakage Tree Data'!V36&lt;&gt;"",'[1]Leakage Tree Data'!V36,"")</f>
        <v>0.0996956732556384</v>
      </c>
      <c s="72">
        <f>IF('[1]Leakage Tree Data'!W36&lt;&gt;"",'[1]Leakage Tree Data'!W36,"")</f>
        <v>-1855949.2237854</v>
      </c>
      <c s="72">
        <f>IF('[1]Leakage Tree Data'!X36&lt;&gt;"",'[1]Leakage Tree Data'!X36,"")</f>
      </c>
      <c s="72">
        <f>IF('[1]Leakage Tree Data'!Y36&lt;&gt;"",'[1]Leakage Tree Data'!Y36,"")</f>
        <v>0.0159583353651271</v>
      </c>
      <c s="72">
        <f>IF('[1]Leakage Tree Data'!Z36&lt;&gt;"",'[1]Leakage Tree Data'!Z36,"")</f>
        <v>-23048.1137695313</v>
      </c>
      <c s="72">
        <f>IF('[1]Leakage Tree Data'!AA36&lt;&gt;"",'[1]Leakage Tree Data'!AA36,"")</f>
      </c>
      <c s="72">
        <f>IF('[1]Leakage Tree Data'!AB36&lt;&gt;"",'[1]Leakage Tree Data'!AB36,"")</f>
        <v>-1011973.00143433</v>
      </c>
      <c s="72">
        <f>IF('[1]Leakage Tree Data'!AC36&lt;&gt;"",'[1]Leakage Tree Data'!AC36,"")</f>
      </c>
      <c s="72">
        <f>IF('[1]Leakage Tree Data'!AD36&lt;&gt;"",'[1]Leakage Tree Data'!AD36,"")</f>
        <v>-2.40038077889431</v>
      </c>
      <c s="72">
        <f>IF('[1]Leakage Tree Data'!AE36&lt;&gt;"",'[1]Leakage Tree Data'!AE36,"")</f>
      </c>
      <c s="73">
        <f t="shared" si="4"/>
      </c>
      <c s="73">
        <f t="shared" si="5"/>
      </c>
      <c s="73">
        <f t="shared" si="6"/>
      </c>
      <c s="73">
        <f t="shared" si="7"/>
      </c>
      <c s="74">
        <f t="shared" si="8"/>
      </c>
      <c s="74">
        <f t="shared" si="9"/>
      </c>
      <c s="69" t="str">
        <f t="shared" si="0"/>
        <v>Total US - BI Lo</v>
      </c>
      <c s="69" t="str">
        <f t="shared" si="1"/>
        <v>Total US - GroceryX</v>
      </c>
      <c s="77"/>
    </row>
    <row r="138" spans="1:141" ht="15">
      <c r="A1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138,$AL$8:$AL$15,1,FALSE))=TRUE,IF(AND(CV138=CW138,CV138&lt;&gt;"",DI$111&lt;&gt;"",DK138&lt;&gt;""),IF(CW$101="Y",DK138-IF(ISERROR(VLOOKUP(CV138,$CA$113:$DK$300,37,FALSE))=TRUE,0,IF(VLOOKUP(CV138,$CA$113:$DK$300,37,FALSE)="",0,VLOOKUP(CV138,$CA$113:$DK$300,37,FALSE))),DK138-IF(AND(CW$102="Y",CV138=$CW$111),DI$111,0)),""),"")</f>
      </c>
      <c s="76">
        <f>IF(ISERROR(VLOOKUP(CV138,$AL$8:$AL$15,1,FALSE))=TRUE,IF(CB138&lt;&gt;"",IF(CB138&gt;0,IF(Z$4&lt;&gt;"",MIN(4,RANK(CB138,$CB$111:$CB$300)),RANK(CB138,$CB$111:$CB$300)),""),""),"")</f>
      </c>
      <c s="75">
        <f>IF(ISERROR(VLOOKUP(CV138,$AL$8:$AL$15,1,FALSE))=TRUE,IF(AND(ISERROR(FIND("NeighMkt",$CX$102))=FALSE,LEFT($CW$111,10)="ALL OUTLET",$CA138&lt;&gt;"",DK138&lt;&gt;""),"",IF(AND($CV138&lt;&gt;$CW138,$CW138=CD$110),$DK138,"")),"")</f>
      </c>
      <c s="76">
        <f>IF(ISERROR(VLOOKUP(CV138,$AL$8:$AL$15,1,FALSE))=TRUE,IF(CD138&lt;&gt;"",IF(CD138&gt;0,RANK(CD138,$CD$111:$CD$300),""),""),"")</f>
      </c>
      <c s="75">
        <f>IF(ISERROR(VLOOKUP(CV138,$AL$8:$AL$15,1,FALSE))=TRUE,IF(AND(ISERROR(FIND("NeighMkt",$CX$102))=FALSE,LEFT($CW$111,10)="ALL OUTLET",$CA138&lt;&gt;"",DK138&lt;&gt;""),"",IF(AND($CV138&lt;&gt;$CW138,$CW138=CF$110),$DK138,"")),"")</f>
      </c>
      <c s="76">
        <f>IF(ISERROR(VLOOKUP(CV138,$AL$8:$AL$15,1,FALSE))=TRUE,IF(CF138&lt;&gt;"",IF(CF138&gt;0,RANK(CF138,$CF$111:$CF$300),""),""),"")</f>
      </c>
      <c s="75">
        <f>IF(ISERROR(VLOOKUP(CV138,$AL$8:$AL$15,1,FALSE))=TRUE,IF(AND(ISERROR(FIND("NeighMkt",$CX$102))=FALSE,LEFT($CW$111,10)="ALL OUTLET",$CA138&lt;&gt;"",DK138&lt;&gt;""),"",IF(AND($CV138&lt;&gt;$CW138,$CW138=CH$110),$DK138,"")),"")</f>
      </c>
      <c s="76">
        <f>IF(ISERROR(VLOOKUP(CV138,$AL$8:$AL$15,1,FALSE))=TRUE,IF(CH138&lt;&gt;"",IF(CH138&gt;0,RANK(CH138,$CH$111:$CH$300),""),""),"")</f>
      </c>
      <c s="75">
        <f>IF(ISERROR(VLOOKUP(CV138,$AL$8:$AL$15,1,FALSE))=TRUE,IF(AND(ISERROR(FIND("NeighMkt",$CX$102))=FALSE,LEFT($CW$111,10)="ALL OUTLET",$CA138&lt;&gt;"",DK138&lt;&gt;""),"",IF($Z$4="",IF(AND($CV138&lt;&gt;$CW138,$CW138=CJ$110),$DK138,""),IF(AND($CV138&lt;&gt;$CW138,$CW138&lt;&gt;CD$110,$CW138&lt;&gt;CF$110,$CW138&lt;&gt;CH$110,$CW138&lt;&gt;$CV$111),$DK138,""))),"")</f>
      </c>
      <c s="76">
        <f>IF(ISERROR(VLOOKUP(CV138,$AL$8:$AL$15,1,FALSE))=TRUE,IF(CJ138&lt;&gt;"",IF(CJ138&gt;0,RANK(CJ138,$CJ$111:$CJ$300),""),""),"")</f>
      </c>
      <c s="75">
        <f>IF(ISERROR(VLOOKUP(CV138,$AL$8:$AL$15,1,FALSE))=TRUE,IF(AND(CV138=CW138,CV138&lt;&gt;"",DJ138&lt;&gt;""),IF(AND(ISERROR(FIND("NeighMkt",$CX$102))=FALSE,LEFT($CW$111,10)="ALL OUTLET"),DJ138-IF(ISERROR(VLOOKUP(CV138,$CA$113:$DK$300,36,FALSE))=TRUE,0,IF(VLOOKUP(CV138,$CA$113:$DK$300,36,FALSE)="",0,VLOOKUP(CV138,$CA$113:$DK$300,36,FALSE))),DJ138),""),"")</f>
      </c>
      <c s="76">
        <f>IF(ISERROR(VLOOKUP(CV138,$AL$8:$AL$15,1,FALSE))=TRUE,IF(CL138&lt;&gt;"",IF(CL138&gt;0,IF($Z$4&lt;&gt;"",MIN(4,RANK(CL138,$CL$111:$CL$300)),RANK(CL138,$CL$111:$CL$300)),""),""),"")</f>
      </c>
      <c s="75">
        <f>IF(ISERROR(VLOOKUP(CV138,$AL$8:$AL$15,1,FALSE))=TRUE,IF(AND(ISERROR(FIND("NeighMkt",$CX$102))=FALSE,LEFT($CW$111,10)="ALL OUTLET",$CA138&lt;&gt;"",DJ138&lt;&gt;""),"",IF(AND($CV138&lt;&gt;$CW138,$CW138=CN$110),$DJ138,"")),"")</f>
      </c>
      <c s="76">
        <f>IF(ISERROR(VLOOKUP(CV138,$AL$8:$AL$15,1,FALSE))=TRUE,IF(CN138&lt;&gt;"",IF(CN138&gt;0,RANK(CN138,$CN$111:$CN$300),""),""),"")</f>
      </c>
      <c s="75">
        <f>IF(ISERROR(VLOOKUP(CV138,$AL$8:$AL$15,1,FALSE))=TRUE,IF(AND(ISERROR(FIND("NeighMkt",$CX$102))=FALSE,LEFT($CW$111,10)="ALL OUTLET",$CA138&lt;&gt;"",DJ138&lt;&gt;""),"",IF(AND($CV138&lt;&gt;$CW138,$CW138=CP$110),$DJ138,"")),"")</f>
      </c>
      <c s="76">
        <f>IF(ISERROR(VLOOKUP(CV138,$AL$8:$AL$15,1,FALSE))=TRUE,IF(CP138&lt;&gt;"",IF(CP138&gt;0,RANK(CP138,$CP$111:$CP$300),""),""),"")</f>
      </c>
      <c s="75">
        <f>IF(ISERROR(VLOOKUP(CV138,$AL$8:$AL$15,1,FALSE))=TRUE,IF(AND(ISERROR(FIND("NeighMkt",$CX$102))=FALSE,LEFT($CW$111,10)="ALL OUTLET",$CA138&lt;&gt;"",DJ138&lt;&gt;""),"",IF(AND($CV138&lt;&gt;$CW138,$CW138=CR$110),$DJ138,"")),"")</f>
      </c>
      <c s="76">
        <f>IF(ISERROR(VLOOKUP(CV138,$AL$8:$AL$15,1,FALSE))=TRUE,IF(CR138&lt;&gt;"",IF(CR138&gt;0,RANK(CR138,$CR$111:$CR$300),""),""),"")</f>
      </c>
      <c s="75">
        <f>IF(ISERROR(VLOOKUP(CV138,$AL$8:$AL$15,1,FALSE))=TRUE,IF(AND(ISERROR(FIND("NeighMkt",$CX$102))=FALSE,LEFT($CW$111,10)="ALL OUTLET",$CA138&lt;&gt;"",DJ138&lt;&gt;""),"",IF($Z$4="",IF(AND($CV138&lt;&gt;$CW138,$CW138=CT$110),$DJ138,""),IF(AND($CV138&lt;&gt;$CW138,$CW138&lt;&gt;CN$110,$CW138&lt;&gt;CP$110,$CW138&lt;&gt;CR$110,$CW138&lt;&gt;$CV$111),$DJ138,""))),"")</f>
      </c>
      <c s="76">
        <f>IF(ISERROR(VLOOKUP(CV138,$AL$8:$AL$15,1,FALSE))=TRUE,IF(CT138&lt;&gt;"",IF(CT138&gt;0,RANK(CT138,$CT$111:$CT$300),""),""),"")</f>
      </c>
      <c s="65" t="str">
        <f t="shared" si="2"/>
        <v>Bashas</v>
      </c>
      <c s="65" t="str">
        <f t="shared" si="3"/>
        <v>GroceryX</v>
      </c>
      <c s="72" t="str">
        <f>IF('[1]Leakage Tree Data'!A37&lt;&gt;"",'[1]Leakage Tree Data'!A37,"")</f>
        <v>Total US - Bashas</v>
      </c>
      <c s="72" t="str">
        <f>IF('[1]Leakage Tree Data'!B37&lt;&gt;"",'[1]Leakage Tree Data'!B37,"")</f>
        <v>Total US - GroceryX</v>
      </c>
      <c s="72">
        <f>IF('[1]Leakage Tree Data'!C37&lt;&gt;"",'[1]Leakage Tree Data'!C37,"")</f>
        <v>121171760.292236</v>
      </c>
      <c s="72">
        <f>IF('[1]Leakage Tree Data'!D37&lt;&gt;"",'[1]Leakage Tree Data'!D37,"")</f>
        <v>812854.016479492</v>
      </c>
      <c s="72">
        <f>IF('[1]Leakage Tree Data'!E37&lt;&gt;"",'[1]Leakage Tree Data'!E37,"")</f>
        <v>0.6708279342638</v>
      </c>
      <c s="72">
        <f>IF('[1]Leakage Tree Data'!F37&lt;&gt;"",'[1]Leakage Tree Data'!F37,"")</f>
        <v>120358906.275757</v>
      </c>
      <c s="72">
        <f>IF('[1]Leakage Tree Data'!G37&lt;&gt;"",'[1]Leakage Tree Data'!G37,"")</f>
        <v>99.3291720657362</v>
      </c>
      <c s="72">
        <f>IF('[1]Leakage Tree Data'!H37&lt;&gt;"",'[1]Leakage Tree Data'!H37,"")</f>
        <v>61518209.9918823</v>
      </c>
      <c s="72" t="str">
        <f>IF('[1]Leakage Tree Data'!I37&lt;&gt;"",'[1]Leakage Tree Data'!I37,"")</f>
        <v>GroceryX</v>
      </c>
      <c s="72">
        <f>IF('[1]Leakage Tree Data'!J37&lt;&gt;"",'[1]Leakage Tree Data'!J37,"")</f>
      </c>
      <c s="72">
        <f>IF('[1]Leakage Tree Data'!K37&lt;&gt;"",'[1]Leakage Tree Data'!K37,"")</f>
      </c>
      <c s="72">
        <f>IF('[1]Leakage Tree Data'!L37&lt;&gt;"",'[1]Leakage Tree Data'!L37,"")</f>
      </c>
      <c s="72">
        <f>IF('[1]Leakage Tree Data'!M37&lt;&gt;"",'[1]Leakage Tree Data'!M37,"")</f>
      </c>
      <c s="72">
        <f>IF('[1]Leakage Tree Data'!N37&lt;&gt;"",'[1]Leakage Tree Data'!N37,"")</f>
      </c>
      <c s="72">
        <f>IF('[1]Leakage Tree Data'!O37&lt;&gt;"",'[1]Leakage Tree Data'!O37,"")</f>
        <v>13.8558120642382</v>
      </c>
      <c s="72">
        <f>IF('[1]Leakage Tree Data'!P37&lt;&gt;"",'[1]Leakage Tree Data'!P37,"")</f>
        <v>94517.464980823</v>
      </c>
      <c s="72">
        <f>IF('[1]Leakage Tree Data'!Q37&lt;&gt;"",'[1]Leakage Tree Data'!Q37,"")</f>
      </c>
      <c s="72">
        <f>IF('[1]Leakage Tree Data'!R37&lt;&gt;"",'[1]Leakage Tree Data'!R37,"")</f>
        <v>1017625.85098267</v>
      </c>
      <c s="72">
        <f>IF('[1]Leakage Tree Data'!S37&lt;&gt;"",'[1]Leakage Tree Data'!S37,"")</f>
        <v>-14816.9144287109</v>
      </c>
      <c s="72">
        <f>IF('[1]Leakage Tree Data'!T37&lt;&gt;"",'[1]Leakage Tree Data'!T37,"")</f>
        <v>-0.0180130571486696</v>
      </c>
      <c s="72">
        <f>IF('[1]Leakage Tree Data'!U37&lt;&gt;"",'[1]Leakage Tree Data'!U37,"")</f>
        <v>1032442.76541138</v>
      </c>
      <c s="72">
        <f>IF('[1]Leakage Tree Data'!V37&lt;&gt;"",'[1]Leakage Tree Data'!V37,"")</f>
        <v>0.0180130571486785</v>
      </c>
      <c s="72">
        <f>IF('[1]Leakage Tree Data'!W37&lt;&gt;"",'[1]Leakage Tree Data'!W37,"")</f>
        <v>-1855949.2237854</v>
      </c>
      <c s="72">
        <f>IF('[1]Leakage Tree Data'!X37&lt;&gt;"",'[1]Leakage Tree Data'!X37,"")</f>
      </c>
      <c s="72">
        <f>IF('[1]Leakage Tree Data'!Y37&lt;&gt;"",'[1]Leakage Tree Data'!Y37,"")</f>
      </c>
      <c s="72">
        <f>IF('[1]Leakage Tree Data'!Z37&lt;&gt;"",'[1]Leakage Tree Data'!Z37,"")</f>
      </c>
      <c s="72">
        <f>IF('[1]Leakage Tree Data'!AA37&lt;&gt;"",'[1]Leakage Tree Data'!AA37,"")</f>
      </c>
      <c s="72">
        <f>IF('[1]Leakage Tree Data'!AB37&lt;&gt;"",'[1]Leakage Tree Data'!AB37,"")</f>
      </c>
      <c s="72">
        <f>IF('[1]Leakage Tree Data'!AC37&lt;&gt;"",'[1]Leakage Tree Data'!AC37,"")</f>
      </c>
      <c s="72">
        <f>IF('[1]Leakage Tree Data'!AD37&lt;&gt;"",'[1]Leakage Tree Data'!AD37,"")</f>
        <v>-0.766598015518266</v>
      </c>
      <c s="72">
        <f>IF('[1]Leakage Tree Data'!AE37&lt;&gt;"",'[1]Leakage Tree Data'!AE37,"")</f>
      </c>
      <c s="73">
        <f t="shared" si="4"/>
      </c>
      <c s="73">
        <f t="shared" si="5"/>
      </c>
      <c s="73">
        <f t="shared" si="6"/>
      </c>
      <c s="73">
        <f t="shared" si="7"/>
      </c>
      <c s="74">
        <f t="shared" si="8"/>
      </c>
      <c s="74">
        <f t="shared" si="9"/>
      </c>
      <c s="69" t="str">
        <f t="shared" si="0"/>
        <v>Total US - Bashas</v>
      </c>
      <c s="69" t="str">
        <f t="shared" si="1"/>
        <v>Total US - GroceryX</v>
      </c>
      <c s="77"/>
    </row>
    <row r="139" spans="1:141" ht="15">
      <c r="A1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139,$AL$8:$AL$15,1,FALSE))=TRUE,IF(AND(CV139=CW139,CV139&lt;&gt;"",DI$111&lt;&gt;"",DK139&lt;&gt;""),IF(CW$101="Y",DK139-IF(ISERROR(VLOOKUP(CV139,$CA$113:$DK$300,37,FALSE))=TRUE,0,IF(VLOOKUP(CV139,$CA$113:$DK$300,37,FALSE)="",0,VLOOKUP(CV139,$CA$113:$DK$300,37,FALSE))),DK139-IF(AND(CW$102="Y",CV139=$CW$111),DI$111,0)),""),"")</f>
      </c>
      <c s="76">
        <f>IF(ISERROR(VLOOKUP(CV139,$AL$8:$AL$15,1,FALSE))=TRUE,IF(CB139&lt;&gt;"",IF(CB139&gt;0,IF(Z$4&lt;&gt;"",MIN(4,RANK(CB139,$CB$111:$CB$300)),RANK(CB139,$CB$111:$CB$300)),""),""),"")</f>
      </c>
      <c s="75">
        <f>IF(ISERROR(VLOOKUP(CV139,$AL$8:$AL$15,1,FALSE))=TRUE,IF(AND(ISERROR(FIND("NeighMkt",$CX$102))=FALSE,LEFT($CW$111,10)="ALL OUTLET",$CA139&lt;&gt;"",DK139&lt;&gt;""),"",IF(AND($CV139&lt;&gt;$CW139,$CW139=CD$110),$DK139,"")),"")</f>
      </c>
      <c s="76">
        <f>IF(ISERROR(VLOOKUP(CV139,$AL$8:$AL$15,1,FALSE))=TRUE,IF(CD139&lt;&gt;"",IF(CD139&gt;0,RANK(CD139,$CD$111:$CD$300),""),""),"")</f>
      </c>
      <c s="75">
        <f>IF(ISERROR(VLOOKUP(CV139,$AL$8:$AL$15,1,FALSE))=TRUE,IF(AND(ISERROR(FIND("NeighMkt",$CX$102))=FALSE,LEFT($CW$111,10)="ALL OUTLET",$CA139&lt;&gt;"",DK139&lt;&gt;""),"",IF(AND($CV139&lt;&gt;$CW139,$CW139=CF$110),$DK139,"")),"")</f>
      </c>
      <c s="76">
        <f>IF(ISERROR(VLOOKUP(CV139,$AL$8:$AL$15,1,FALSE))=TRUE,IF(CF139&lt;&gt;"",IF(CF139&gt;0,RANK(CF139,$CF$111:$CF$300),""),""),"")</f>
      </c>
      <c s="75">
        <f>IF(ISERROR(VLOOKUP(CV139,$AL$8:$AL$15,1,FALSE))=TRUE,IF(AND(ISERROR(FIND("NeighMkt",$CX$102))=FALSE,LEFT($CW$111,10)="ALL OUTLET",$CA139&lt;&gt;"",DK139&lt;&gt;""),"",IF(AND($CV139&lt;&gt;$CW139,$CW139=CH$110),$DK139,"")),"")</f>
      </c>
      <c s="76">
        <f>IF(ISERROR(VLOOKUP(CV139,$AL$8:$AL$15,1,FALSE))=TRUE,IF(CH139&lt;&gt;"",IF(CH139&gt;0,RANK(CH139,$CH$111:$CH$300),""),""),"")</f>
      </c>
      <c s="75">
        <f>IF(ISERROR(VLOOKUP(CV139,$AL$8:$AL$15,1,FALSE))=TRUE,IF(AND(ISERROR(FIND("NeighMkt",$CX$102))=FALSE,LEFT($CW$111,10)="ALL OUTLET",$CA139&lt;&gt;"",DK139&lt;&gt;""),"",IF($Z$4="",IF(AND($CV139&lt;&gt;$CW139,$CW139=CJ$110),$DK139,""),IF(AND($CV139&lt;&gt;$CW139,$CW139&lt;&gt;CD$110,$CW139&lt;&gt;CF$110,$CW139&lt;&gt;CH$110,$CW139&lt;&gt;$CV$111),$DK139,""))),"")</f>
      </c>
      <c s="76">
        <f>IF(ISERROR(VLOOKUP(CV139,$AL$8:$AL$15,1,FALSE))=TRUE,IF(CJ139&lt;&gt;"",IF(CJ139&gt;0,RANK(CJ139,$CJ$111:$CJ$300),""),""),"")</f>
      </c>
      <c s="75">
        <f>IF(ISERROR(VLOOKUP(CV139,$AL$8:$AL$15,1,FALSE))=TRUE,IF(AND(CV139=CW139,CV139&lt;&gt;"",DJ139&lt;&gt;""),IF(AND(ISERROR(FIND("NeighMkt",$CX$102))=FALSE,LEFT($CW$111,10)="ALL OUTLET"),DJ139-IF(ISERROR(VLOOKUP(CV139,$CA$113:$DK$300,36,FALSE))=TRUE,0,IF(VLOOKUP(CV139,$CA$113:$DK$300,36,FALSE)="",0,VLOOKUP(CV139,$CA$113:$DK$300,36,FALSE))),DJ139),""),"")</f>
      </c>
      <c s="76">
        <f>IF(ISERROR(VLOOKUP(CV139,$AL$8:$AL$15,1,FALSE))=TRUE,IF(CL139&lt;&gt;"",IF(CL139&gt;0,IF($Z$4&lt;&gt;"",MIN(4,RANK(CL139,$CL$111:$CL$300)),RANK(CL139,$CL$111:$CL$300)),""),""),"")</f>
      </c>
      <c s="75">
        <f>IF(ISERROR(VLOOKUP(CV139,$AL$8:$AL$15,1,FALSE))=TRUE,IF(AND(ISERROR(FIND("NeighMkt",$CX$102))=FALSE,LEFT($CW$111,10)="ALL OUTLET",$CA139&lt;&gt;"",DJ139&lt;&gt;""),"",IF(AND($CV139&lt;&gt;$CW139,$CW139=CN$110),$DJ139,"")),"")</f>
        <v>1826152.99577332</v>
      </c>
      <c s="76">
        <f>IF(ISERROR(VLOOKUP(CV139,$AL$8:$AL$15,1,FALSE))=TRUE,IF(CN139&lt;&gt;"",IF(CN139&gt;0,RANK(CN139,$CN$111:$CN$300),""),""),"")</f>
        <v>44</v>
      </c>
      <c s="75">
        <f>IF(ISERROR(VLOOKUP(CV139,$AL$8:$AL$15,1,FALSE))=TRUE,IF(AND(ISERROR(FIND("NeighMkt",$CX$102))=FALSE,LEFT($CW$111,10)="ALL OUTLET",$CA139&lt;&gt;"",DJ139&lt;&gt;""),"",IF(AND($CV139&lt;&gt;$CW139,$CW139=CP$110),$DJ139,"")),"")</f>
      </c>
      <c s="76">
        <f>IF(ISERROR(VLOOKUP(CV139,$AL$8:$AL$15,1,FALSE))=TRUE,IF(CP139&lt;&gt;"",IF(CP139&gt;0,RANK(CP139,$CP$111:$CP$300),""),""),"")</f>
      </c>
      <c s="75">
        <f>IF(ISERROR(VLOOKUP(CV139,$AL$8:$AL$15,1,FALSE))=TRUE,IF(AND(ISERROR(FIND("NeighMkt",$CX$102))=FALSE,LEFT($CW$111,10)="ALL OUTLET",$CA139&lt;&gt;"",DJ139&lt;&gt;""),"",IF(AND($CV139&lt;&gt;$CW139,$CW139=CR$110),$DJ139,"")),"")</f>
      </c>
      <c s="76">
        <f>IF(ISERROR(VLOOKUP(CV139,$AL$8:$AL$15,1,FALSE))=TRUE,IF(CR139&lt;&gt;"",IF(CR139&gt;0,RANK(CR139,$CR$111:$CR$300),""),""),"")</f>
      </c>
      <c s="75">
        <f>IF(ISERROR(VLOOKUP(CV139,$AL$8:$AL$15,1,FALSE))=TRUE,IF(AND(ISERROR(FIND("NeighMkt",$CX$102))=FALSE,LEFT($CW$111,10)="ALL OUTLET",$CA139&lt;&gt;"",DJ139&lt;&gt;""),"",IF($Z$4="",IF(AND($CV139&lt;&gt;$CW139,$CW139=CT$110),$DJ139,""),IF(AND($CV139&lt;&gt;$CW139,$CW139&lt;&gt;CN$110,$CW139&lt;&gt;CP$110,$CW139&lt;&gt;CR$110,$CW139&lt;&gt;$CV$111),$DJ139,""))),"")</f>
      </c>
      <c s="76">
        <f>IF(ISERROR(VLOOKUP(CV139,$AL$8:$AL$15,1,FALSE))=TRUE,IF(CT139&lt;&gt;"",IF(CT139&gt;0,RANK(CT139,$CT$111:$CT$300),""),""),"")</f>
      </c>
      <c s="65" t="str">
        <f t="shared" si="2"/>
        <v>Big Y</v>
      </c>
      <c s="65" t="str">
        <f t="shared" si="3"/>
        <v>GroceryX</v>
      </c>
      <c s="72" t="str">
        <f>IF('[1]Leakage Tree Data'!A38&lt;&gt;"",'[1]Leakage Tree Data'!A38,"")</f>
        <v>Total US - Big Y</v>
      </c>
      <c s="72" t="str">
        <f>IF('[1]Leakage Tree Data'!B38&lt;&gt;"",'[1]Leakage Tree Data'!B38,"")</f>
        <v>Total US - GroceryX</v>
      </c>
      <c s="72">
        <f>IF('[1]Leakage Tree Data'!C38&lt;&gt;"",'[1]Leakage Tree Data'!C38,"")</f>
        <v>121171760.292236</v>
      </c>
      <c s="72">
        <f>IF('[1]Leakage Tree Data'!D38&lt;&gt;"",'[1]Leakage Tree Data'!D38,"")</f>
        <v>1065618.60388184</v>
      </c>
      <c s="72">
        <f>IF('[1]Leakage Tree Data'!E38&lt;&gt;"",'[1]Leakage Tree Data'!E38,"")</f>
        <v>0.879428178076994</v>
      </c>
      <c s="72">
        <f>IF('[1]Leakage Tree Data'!F38&lt;&gt;"",'[1]Leakage Tree Data'!F38,"")</f>
        <v>120106141.688354</v>
      </c>
      <c s="72">
        <f>IF('[1]Leakage Tree Data'!G38&lt;&gt;"",'[1]Leakage Tree Data'!G38,"")</f>
        <v>99.120571821923</v>
      </c>
      <c s="72">
        <f>IF('[1]Leakage Tree Data'!H38&lt;&gt;"",'[1]Leakage Tree Data'!H38,"")</f>
        <v>61518209.9918823</v>
      </c>
      <c s="72" t="str">
        <f>IF('[1]Leakage Tree Data'!I38&lt;&gt;"",'[1]Leakage Tree Data'!I38,"")</f>
        <v>GroceryX</v>
      </c>
      <c s="72">
        <f>IF('[1]Leakage Tree Data'!J38&lt;&gt;"",'[1]Leakage Tree Data'!J38,"")</f>
        <v>99.7406746989465</v>
      </c>
      <c s="72">
        <f>IF('[1]Leakage Tree Data'!K38&lt;&gt;"",'[1]Leakage Tree Data'!K38,"")</f>
        <v>159532.28326416</v>
      </c>
      <c s="72">
        <f>IF('[1]Leakage Tree Data'!L38&lt;&gt;"",'[1]Leakage Tree Data'!L38,"")</f>
      </c>
      <c s="72">
        <f>IF('[1]Leakage Tree Data'!M38&lt;&gt;"",'[1]Leakage Tree Data'!M38,"")</f>
        <v>1826152.99577332</v>
      </c>
      <c s="72">
        <f>IF('[1]Leakage Tree Data'!N38&lt;&gt;"",'[1]Leakage Tree Data'!N38,"")</f>
      </c>
      <c s="72">
        <f>IF('[1]Leakage Tree Data'!O38&lt;&gt;"",'[1]Leakage Tree Data'!O38,"")</f>
        <v>34.3044974121143</v>
      </c>
      <c s="72">
        <f>IF('[1]Leakage Tree Data'!P38&lt;&gt;"",'[1]Leakage Tree Data'!P38,"")</f>
        <v>215483.978440996</v>
      </c>
      <c s="72">
        <f>IF('[1]Leakage Tree Data'!Q38&lt;&gt;"",'[1]Leakage Tree Data'!Q38,"")</f>
      </c>
      <c s="72">
        <f>IF('[1]Leakage Tree Data'!R38&lt;&gt;"",'[1]Leakage Tree Data'!R38,"")</f>
        <v>1017625.85098267</v>
      </c>
      <c s="72">
        <f>IF('[1]Leakage Tree Data'!S38&lt;&gt;"",'[1]Leakage Tree Data'!S38,"")</f>
        <v>-54598.8517456055</v>
      </c>
      <c s="72">
        <f>IF('[1]Leakage Tree Data'!T38&lt;&gt;"",'[1]Leakage Tree Data'!T38,"")</f>
        <v>-0.052888850243945</v>
      </c>
      <c s="72">
        <f>IF('[1]Leakage Tree Data'!U38&lt;&gt;"",'[1]Leakage Tree Data'!U38,"")</f>
        <v>1072224.70272827</v>
      </c>
      <c s="72">
        <f>IF('[1]Leakage Tree Data'!V38&lt;&gt;"",'[1]Leakage Tree Data'!V38,"")</f>
        <v>0.0528888502439457</v>
      </c>
      <c s="72">
        <f>IF('[1]Leakage Tree Data'!W38&lt;&gt;"",'[1]Leakage Tree Data'!W38,"")</f>
        <v>-1855949.2237854</v>
      </c>
      <c s="72">
        <f>IF('[1]Leakage Tree Data'!X38&lt;&gt;"",'[1]Leakage Tree Data'!X38,"")</f>
      </c>
      <c s="72">
        <f>IF('[1]Leakage Tree Data'!Y38&lt;&gt;"",'[1]Leakage Tree Data'!Y38,"")</f>
        <v>-0.00836495663533299</v>
      </c>
      <c s="72">
        <f>IF('[1]Leakage Tree Data'!Z38&lt;&gt;"",'[1]Leakage Tree Data'!Z38,"")</f>
        <v>488.275024414063</v>
      </c>
      <c s="72">
        <f>IF('[1]Leakage Tree Data'!AA38&lt;&gt;"",'[1]Leakage Tree Data'!AA38,"")</f>
      </c>
      <c s="72">
        <f>IF('[1]Leakage Tree Data'!AB38&lt;&gt;"",'[1]Leakage Tree Data'!AB38,"")</f>
        <v>376628.095626831</v>
      </c>
      <c s="72">
        <f>IF('[1]Leakage Tree Data'!AC38&lt;&gt;"",'[1]Leakage Tree Data'!AC38,"")</f>
      </c>
      <c s="72">
        <f>IF('[1]Leakage Tree Data'!AD38&lt;&gt;"",'[1]Leakage Tree Data'!AD38,"")</f>
        <v>1.6092276322647</v>
      </c>
      <c s="72">
        <f>IF('[1]Leakage Tree Data'!AE38&lt;&gt;"",'[1]Leakage Tree Data'!AE38,"")</f>
      </c>
      <c s="73">
        <f t="shared" si="4"/>
      </c>
      <c s="73">
        <f t="shared" si="5"/>
      </c>
      <c s="73">
        <f t="shared" si="6"/>
      </c>
      <c s="73">
        <f t="shared" si="7"/>
      </c>
      <c s="74">
        <f t="shared" si="8"/>
      </c>
      <c s="74">
        <f t="shared" si="9"/>
      </c>
      <c s="69" t="str">
        <f t="shared" si="0"/>
        <v>Total US - Big Y</v>
      </c>
      <c s="69" t="str">
        <f t="shared" si="1"/>
        <v>Total US - GroceryX</v>
      </c>
      <c s="77"/>
    </row>
    <row r="140" spans="1:141" ht="15">
      <c r="A1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140,$AL$8:$AL$15,1,FALSE))=TRUE,IF(AND(CV140=CW140,CV140&lt;&gt;"",DI$111&lt;&gt;"",DK140&lt;&gt;""),IF(CW$101="Y",DK140-IF(ISERROR(VLOOKUP(CV140,$CA$113:$DK$300,37,FALSE))=TRUE,0,IF(VLOOKUP(CV140,$CA$113:$DK$300,37,FALSE)="",0,VLOOKUP(CV140,$CA$113:$DK$300,37,FALSE))),DK140-IF(AND(CW$102="Y",CV140=$CW$111),DI$111,0)),""),"")</f>
      </c>
      <c s="76">
        <f>IF(ISERROR(VLOOKUP(CV140,$AL$8:$AL$15,1,FALSE))=TRUE,IF(CB140&lt;&gt;"",IF(CB140&gt;0,IF(Z$4&lt;&gt;"",MIN(4,RANK(CB140,$CB$111:$CB$300)),RANK(CB140,$CB$111:$CB$300)),""),""),"")</f>
      </c>
      <c s="75">
        <f>IF(ISERROR(VLOOKUP(CV140,$AL$8:$AL$15,1,FALSE))=TRUE,IF(AND(ISERROR(FIND("NeighMkt",$CX$102))=FALSE,LEFT($CW$111,10)="ALL OUTLET",$CA140&lt;&gt;"",DK140&lt;&gt;""),"",IF(AND($CV140&lt;&gt;$CW140,$CW140=CD$110),$DK140,"")),"")</f>
      </c>
      <c s="76">
        <f>IF(ISERROR(VLOOKUP(CV140,$AL$8:$AL$15,1,FALSE))=TRUE,IF(CD140&lt;&gt;"",IF(CD140&gt;0,RANK(CD140,$CD$111:$CD$300),""),""),"")</f>
      </c>
      <c s="75">
        <f>IF(ISERROR(VLOOKUP(CV140,$AL$8:$AL$15,1,FALSE))=TRUE,IF(AND(ISERROR(FIND("NeighMkt",$CX$102))=FALSE,LEFT($CW$111,10)="ALL OUTLET",$CA140&lt;&gt;"",DK140&lt;&gt;""),"",IF(AND($CV140&lt;&gt;$CW140,$CW140=CF$110),$DK140,"")),"")</f>
      </c>
      <c s="76">
        <f>IF(ISERROR(VLOOKUP(CV140,$AL$8:$AL$15,1,FALSE))=TRUE,IF(CF140&lt;&gt;"",IF(CF140&gt;0,RANK(CF140,$CF$111:$CF$300),""),""),"")</f>
      </c>
      <c s="75">
        <f>IF(ISERROR(VLOOKUP(CV140,$AL$8:$AL$15,1,FALSE))=TRUE,IF(AND(ISERROR(FIND("NeighMkt",$CX$102))=FALSE,LEFT($CW$111,10)="ALL OUTLET",$CA140&lt;&gt;"",DK140&lt;&gt;""),"",IF(AND($CV140&lt;&gt;$CW140,$CW140=CH$110),$DK140,"")),"")</f>
      </c>
      <c s="76">
        <f>IF(ISERROR(VLOOKUP(CV140,$AL$8:$AL$15,1,FALSE))=TRUE,IF(CH140&lt;&gt;"",IF(CH140&gt;0,RANK(CH140,$CH$111:$CH$300),""),""),"")</f>
      </c>
      <c s="75">
        <f>IF(ISERROR(VLOOKUP(CV140,$AL$8:$AL$15,1,FALSE))=TRUE,IF(AND(ISERROR(FIND("NeighMkt",$CX$102))=FALSE,LEFT($CW$111,10)="ALL OUTLET",$CA140&lt;&gt;"",DK140&lt;&gt;""),"",IF($Z$4="",IF(AND($CV140&lt;&gt;$CW140,$CW140=CJ$110),$DK140,""),IF(AND($CV140&lt;&gt;$CW140,$CW140&lt;&gt;CD$110,$CW140&lt;&gt;CF$110,$CW140&lt;&gt;CH$110,$CW140&lt;&gt;$CV$111),$DK140,""))),"")</f>
      </c>
      <c s="76">
        <f>IF(ISERROR(VLOOKUP(CV140,$AL$8:$AL$15,1,FALSE))=TRUE,IF(CJ140&lt;&gt;"",IF(CJ140&gt;0,RANK(CJ140,$CJ$111:$CJ$300),""),""),"")</f>
      </c>
      <c s="75">
        <f>IF(ISERROR(VLOOKUP(CV140,$AL$8:$AL$15,1,FALSE))=TRUE,IF(AND(CV140=CW140,CV140&lt;&gt;"",DJ140&lt;&gt;""),IF(AND(ISERROR(FIND("NeighMkt",$CX$102))=FALSE,LEFT($CW$111,10)="ALL OUTLET"),DJ140-IF(ISERROR(VLOOKUP(CV140,$CA$113:$DK$300,36,FALSE))=TRUE,0,IF(VLOOKUP(CV140,$CA$113:$DK$300,36,FALSE)="",0,VLOOKUP(CV140,$CA$113:$DK$300,36,FALSE))),DJ140),""),"")</f>
      </c>
      <c s="76">
        <f>IF(ISERROR(VLOOKUP(CV140,$AL$8:$AL$15,1,FALSE))=TRUE,IF(CL140&lt;&gt;"",IF(CL140&gt;0,IF($Z$4&lt;&gt;"",MIN(4,RANK(CL140,$CL$111:$CL$300)),RANK(CL140,$CL$111:$CL$300)),""),""),"")</f>
      </c>
      <c s="75">
        <f>IF(ISERROR(VLOOKUP(CV140,$AL$8:$AL$15,1,FALSE))=TRUE,IF(AND(ISERROR(FIND("NeighMkt",$CX$102))=FALSE,LEFT($CW$111,10)="ALL OUTLET",$CA140&lt;&gt;"",DJ140&lt;&gt;""),"",IF(AND($CV140&lt;&gt;$CW140,$CW140=CN$110),$DJ140,"")),"")</f>
      </c>
      <c s="76">
        <f>IF(ISERROR(VLOOKUP(CV140,$AL$8:$AL$15,1,FALSE))=TRUE,IF(CN140&lt;&gt;"",IF(CN140&gt;0,RANK(CN140,$CN$111:$CN$300),""),""),"")</f>
      </c>
      <c s="75">
        <f>IF(ISERROR(VLOOKUP(CV140,$AL$8:$AL$15,1,FALSE))=TRUE,IF(AND(ISERROR(FIND("NeighMkt",$CX$102))=FALSE,LEFT($CW$111,10)="ALL OUTLET",$CA140&lt;&gt;"",DJ140&lt;&gt;""),"",IF(AND($CV140&lt;&gt;$CW140,$CW140=CP$110),$DJ140,"")),"")</f>
      </c>
      <c s="76">
        <f>IF(ISERROR(VLOOKUP(CV140,$AL$8:$AL$15,1,FALSE))=TRUE,IF(CP140&lt;&gt;"",IF(CP140&gt;0,RANK(CP140,$CP$111:$CP$300),""),""),"")</f>
      </c>
      <c s="75">
        <f>IF(ISERROR(VLOOKUP(CV140,$AL$8:$AL$15,1,FALSE))=TRUE,IF(AND(ISERROR(FIND("NeighMkt",$CX$102))=FALSE,LEFT($CW$111,10)="ALL OUTLET",$CA140&lt;&gt;"",DJ140&lt;&gt;""),"",IF(AND($CV140&lt;&gt;$CW140,$CW140=CR$110),$DJ140,"")),"")</f>
      </c>
      <c s="76">
        <f>IF(ISERROR(VLOOKUP(CV140,$AL$8:$AL$15,1,FALSE))=TRUE,IF(CR140&lt;&gt;"",IF(CR140&gt;0,RANK(CR140,$CR$111:$CR$300),""),""),"")</f>
      </c>
      <c s="75">
        <f>IF(ISERROR(VLOOKUP(CV140,$AL$8:$AL$15,1,FALSE))=TRUE,IF(AND(ISERROR(FIND("NeighMkt",$CX$102))=FALSE,LEFT($CW$111,10)="ALL OUTLET",$CA140&lt;&gt;"",DJ140&lt;&gt;""),"",IF($Z$4="",IF(AND($CV140&lt;&gt;$CW140,$CW140=CT$110),$DJ140,""),IF(AND($CV140&lt;&gt;$CW140,$CW140&lt;&gt;CN$110,$CW140&lt;&gt;CP$110,$CW140&lt;&gt;CR$110,$CW140&lt;&gt;$CV$111),$DJ140,""))),"")</f>
      </c>
      <c s="76">
        <f>IF(ISERROR(VLOOKUP(CV140,$AL$8:$AL$15,1,FALSE))=TRUE,IF(CT140&lt;&gt;"",IF(CT140&gt;0,RANK(CT140,$CT$111:$CT$300),""),""),"")</f>
      </c>
      <c s="65" t="str">
        <f t="shared" si="2"/>
        <v>Bottom Dollar</v>
      </c>
      <c s="65" t="str">
        <f t="shared" si="3"/>
        <v>GroceryX</v>
      </c>
      <c s="72" t="str">
        <f>IF('[1]Leakage Tree Data'!A39&lt;&gt;"",'[1]Leakage Tree Data'!A39,"")</f>
        <v>Total US - Bottom Dollar</v>
      </c>
      <c s="72" t="str">
        <f>IF('[1]Leakage Tree Data'!B39&lt;&gt;"",'[1]Leakage Tree Data'!B39,"")</f>
        <v>Total US - GroceryX</v>
      </c>
      <c s="72">
        <f>IF('[1]Leakage Tree Data'!C39&lt;&gt;"",'[1]Leakage Tree Data'!C39,"")</f>
        <v>121171760.292236</v>
      </c>
      <c s="72">
        <f>IF('[1]Leakage Tree Data'!D39&lt;&gt;"",'[1]Leakage Tree Data'!D39,"")</f>
      </c>
      <c s="72">
        <f>IF('[1]Leakage Tree Data'!E39&lt;&gt;"",'[1]Leakage Tree Data'!E39,"")</f>
      </c>
      <c s="72">
        <f>IF('[1]Leakage Tree Data'!F39&lt;&gt;"",'[1]Leakage Tree Data'!F39,"")</f>
      </c>
      <c s="72">
        <f>IF('[1]Leakage Tree Data'!G39&lt;&gt;"",'[1]Leakage Tree Data'!G39,"")</f>
      </c>
      <c s="72">
        <f>IF('[1]Leakage Tree Data'!H39&lt;&gt;"",'[1]Leakage Tree Data'!H39,"")</f>
        <v>61518209.9918823</v>
      </c>
      <c s="72" t="str">
        <f>IF('[1]Leakage Tree Data'!I39&lt;&gt;"",'[1]Leakage Tree Data'!I39,"")</f>
        <v>GroceryX</v>
      </c>
      <c s="72">
        <f>IF('[1]Leakage Tree Data'!J39&lt;&gt;"",'[1]Leakage Tree Data'!J39,"")</f>
      </c>
      <c s="72">
        <f>IF('[1]Leakage Tree Data'!K39&lt;&gt;"",'[1]Leakage Tree Data'!K39,"")</f>
      </c>
      <c s="72">
        <f>IF('[1]Leakage Tree Data'!L39&lt;&gt;"",'[1]Leakage Tree Data'!L39,"")</f>
      </c>
      <c s="72">
        <f>IF('[1]Leakage Tree Data'!M39&lt;&gt;"",'[1]Leakage Tree Data'!M39,"")</f>
      </c>
      <c s="72">
        <f>IF('[1]Leakage Tree Data'!N39&lt;&gt;"",'[1]Leakage Tree Data'!N39,"")</f>
      </c>
      <c s="72">
        <f>IF('[1]Leakage Tree Data'!O39&lt;&gt;"",'[1]Leakage Tree Data'!O39,"")</f>
      </c>
      <c s="72">
        <f>IF('[1]Leakage Tree Data'!P39&lt;&gt;"",'[1]Leakage Tree Data'!P39,"")</f>
      </c>
      <c s="72">
        <f>IF('[1]Leakage Tree Data'!Q39&lt;&gt;"",'[1]Leakage Tree Data'!Q39,"")</f>
      </c>
      <c s="72">
        <f>IF('[1]Leakage Tree Data'!R39&lt;&gt;"",'[1]Leakage Tree Data'!R39,"")</f>
        <v>1017625.85098267</v>
      </c>
      <c s="72">
        <f>IF('[1]Leakage Tree Data'!S39&lt;&gt;"",'[1]Leakage Tree Data'!S39,"")</f>
      </c>
      <c s="72">
        <f>IF('[1]Leakage Tree Data'!T39&lt;&gt;"",'[1]Leakage Tree Data'!T39,"")</f>
      </c>
      <c s="72">
        <f>IF('[1]Leakage Tree Data'!U39&lt;&gt;"",'[1]Leakage Tree Data'!U39,"")</f>
      </c>
      <c s="72">
        <f>IF('[1]Leakage Tree Data'!V39&lt;&gt;"",'[1]Leakage Tree Data'!V39,"")</f>
      </c>
      <c s="72">
        <f>IF('[1]Leakage Tree Data'!W39&lt;&gt;"",'[1]Leakage Tree Data'!W39,"")</f>
        <v>-1855949.2237854</v>
      </c>
      <c s="72">
        <f>IF('[1]Leakage Tree Data'!X39&lt;&gt;"",'[1]Leakage Tree Data'!X39,"")</f>
      </c>
      <c s="72">
        <f>IF('[1]Leakage Tree Data'!Y39&lt;&gt;"",'[1]Leakage Tree Data'!Y39,"")</f>
      </c>
      <c s="72">
        <f>IF('[1]Leakage Tree Data'!Z39&lt;&gt;"",'[1]Leakage Tree Data'!Z39,"")</f>
      </c>
      <c s="72">
        <f>IF('[1]Leakage Tree Data'!AA39&lt;&gt;"",'[1]Leakage Tree Data'!AA39,"")</f>
      </c>
      <c s="72">
        <f>IF('[1]Leakage Tree Data'!AB39&lt;&gt;"",'[1]Leakage Tree Data'!AB39,"")</f>
      </c>
      <c s="72">
        <f>IF('[1]Leakage Tree Data'!AC39&lt;&gt;"",'[1]Leakage Tree Data'!AC39,"")</f>
      </c>
      <c s="72">
        <f>IF('[1]Leakage Tree Data'!AD39&lt;&gt;"",'[1]Leakage Tree Data'!AD39,"")</f>
      </c>
      <c s="72">
        <f>IF('[1]Leakage Tree Data'!AE39&lt;&gt;"",'[1]Leakage Tree Data'!AE39,"")</f>
      </c>
      <c s="73">
        <f t="shared" si="4"/>
      </c>
      <c s="73">
        <f t="shared" si="5"/>
      </c>
      <c s="73">
        <f t="shared" si="6"/>
      </c>
      <c s="73">
        <f t="shared" si="7"/>
      </c>
      <c s="74">
        <f t="shared" si="8"/>
      </c>
      <c s="74">
        <f t="shared" si="9"/>
      </c>
      <c s="69" t="str">
        <f t="shared" si="0"/>
        <v>Total US - Bottom Dollar</v>
      </c>
      <c s="69" t="str">
        <f t="shared" si="1"/>
        <v>Total US - GroceryX</v>
      </c>
      <c s="77"/>
    </row>
    <row r="141" spans="1:141" ht="15">
      <c r="A1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141,$AL$8:$AL$15,1,FALSE))=TRUE,IF(AND(CV141=CW141,CV141&lt;&gt;"",DI$111&lt;&gt;"",DK141&lt;&gt;""),IF(CW$101="Y",DK141-IF(ISERROR(VLOOKUP(CV141,$CA$113:$DK$300,37,FALSE))=TRUE,0,IF(VLOOKUP(CV141,$CA$113:$DK$300,37,FALSE)="",0,VLOOKUP(CV141,$CA$113:$DK$300,37,FALSE))),DK141-IF(AND(CW$102="Y",CV141=$CW$111),DI$111,0)),""),"")</f>
      </c>
      <c s="76">
        <f>IF(ISERROR(VLOOKUP(CV141,$AL$8:$AL$15,1,FALSE))=TRUE,IF(CB141&lt;&gt;"",IF(CB141&gt;0,IF(Z$4&lt;&gt;"",MIN(4,RANK(CB141,$CB$111:$CB$300)),RANK(CB141,$CB$111:$CB$300)),""),""),"")</f>
      </c>
      <c s="75">
        <f>IF(ISERROR(VLOOKUP(CV141,$AL$8:$AL$15,1,FALSE))=TRUE,IF(AND(ISERROR(FIND("NeighMkt",$CX$102))=FALSE,LEFT($CW$111,10)="ALL OUTLET",$CA141&lt;&gt;"",DK141&lt;&gt;""),"",IF(AND($CV141&lt;&gt;$CW141,$CW141=CD$110),$DK141,"")),"")</f>
      </c>
      <c s="76">
        <f>IF(ISERROR(VLOOKUP(CV141,$AL$8:$AL$15,1,FALSE))=TRUE,IF(CD141&lt;&gt;"",IF(CD141&gt;0,RANK(CD141,$CD$111:$CD$300),""),""),"")</f>
      </c>
      <c s="75">
        <f>IF(ISERROR(VLOOKUP(CV141,$AL$8:$AL$15,1,FALSE))=TRUE,IF(AND(ISERROR(FIND("NeighMkt",$CX$102))=FALSE,LEFT($CW$111,10)="ALL OUTLET",$CA141&lt;&gt;"",DK141&lt;&gt;""),"",IF(AND($CV141&lt;&gt;$CW141,$CW141=CF$110),$DK141,"")),"")</f>
      </c>
      <c s="76">
        <f>IF(ISERROR(VLOOKUP(CV141,$AL$8:$AL$15,1,FALSE))=TRUE,IF(CF141&lt;&gt;"",IF(CF141&gt;0,RANK(CF141,$CF$111:$CF$300),""),""),"")</f>
      </c>
      <c s="75">
        <f>IF(ISERROR(VLOOKUP(CV141,$AL$8:$AL$15,1,FALSE))=TRUE,IF(AND(ISERROR(FIND("NeighMkt",$CX$102))=FALSE,LEFT($CW$111,10)="ALL OUTLET",$CA141&lt;&gt;"",DK141&lt;&gt;""),"",IF(AND($CV141&lt;&gt;$CW141,$CW141=CH$110),$DK141,"")),"")</f>
      </c>
      <c s="76">
        <f>IF(ISERROR(VLOOKUP(CV141,$AL$8:$AL$15,1,FALSE))=TRUE,IF(CH141&lt;&gt;"",IF(CH141&gt;0,RANK(CH141,$CH$111:$CH$300),""),""),"")</f>
      </c>
      <c s="75">
        <f>IF(ISERROR(VLOOKUP(CV141,$AL$8:$AL$15,1,FALSE))=TRUE,IF(AND(ISERROR(FIND("NeighMkt",$CX$102))=FALSE,LEFT($CW$111,10)="ALL OUTLET",$CA141&lt;&gt;"",DK141&lt;&gt;""),"",IF($Z$4="",IF(AND($CV141&lt;&gt;$CW141,$CW141=CJ$110),$DK141,""),IF(AND($CV141&lt;&gt;$CW141,$CW141&lt;&gt;CD$110,$CW141&lt;&gt;CF$110,$CW141&lt;&gt;CH$110,$CW141&lt;&gt;$CV$111),$DK141,""))),"")</f>
      </c>
      <c s="76">
        <f>IF(ISERROR(VLOOKUP(CV141,$AL$8:$AL$15,1,FALSE))=TRUE,IF(CJ141&lt;&gt;"",IF(CJ141&gt;0,RANK(CJ141,$CJ$111:$CJ$300),""),""),"")</f>
      </c>
      <c s="75">
        <f>IF(ISERROR(VLOOKUP(CV141,$AL$8:$AL$15,1,FALSE))=TRUE,IF(AND(CV141=CW141,CV141&lt;&gt;"",DJ141&lt;&gt;""),IF(AND(ISERROR(FIND("NeighMkt",$CX$102))=FALSE,LEFT($CW$111,10)="ALL OUTLET"),DJ141-IF(ISERROR(VLOOKUP(CV141,$CA$113:$DK$300,36,FALSE))=TRUE,0,IF(VLOOKUP(CV141,$CA$113:$DK$300,36,FALSE)="",0,VLOOKUP(CV141,$CA$113:$DK$300,36,FALSE))),DJ141),""),"")</f>
      </c>
      <c s="76">
        <f>IF(ISERROR(VLOOKUP(CV141,$AL$8:$AL$15,1,FALSE))=TRUE,IF(CL141&lt;&gt;"",IF(CL141&gt;0,IF($Z$4&lt;&gt;"",MIN(4,RANK(CL141,$CL$111:$CL$300)),RANK(CL141,$CL$111:$CL$300)),""),""),"")</f>
      </c>
      <c s="75">
        <f>IF(ISERROR(VLOOKUP(CV141,$AL$8:$AL$15,1,FALSE))=TRUE,IF(AND(ISERROR(FIND("NeighMkt",$CX$102))=FALSE,LEFT($CW$111,10)="ALL OUTLET",$CA141&lt;&gt;"",DJ141&lt;&gt;""),"",IF(AND($CV141&lt;&gt;$CW141,$CW141=CN$110),$DJ141,"")),"")</f>
      </c>
      <c s="76">
        <f>IF(ISERROR(VLOOKUP(CV141,$AL$8:$AL$15,1,FALSE))=TRUE,IF(CN141&lt;&gt;"",IF(CN141&gt;0,RANK(CN141,$CN$111:$CN$300),""),""),"")</f>
      </c>
      <c s="75">
        <f>IF(ISERROR(VLOOKUP(CV141,$AL$8:$AL$15,1,FALSE))=TRUE,IF(AND(ISERROR(FIND("NeighMkt",$CX$102))=FALSE,LEFT($CW$111,10)="ALL OUTLET",$CA141&lt;&gt;"",DJ141&lt;&gt;""),"",IF(AND($CV141&lt;&gt;$CW141,$CW141=CP$110),$DJ141,"")),"")</f>
      </c>
      <c s="76">
        <f>IF(ISERROR(VLOOKUP(CV141,$AL$8:$AL$15,1,FALSE))=TRUE,IF(CP141&lt;&gt;"",IF(CP141&gt;0,RANK(CP141,$CP$111:$CP$300),""),""),"")</f>
      </c>
      <c s="75">
        <f>IF(ISERROR(VLOOKUP(CV141,$AL$8:$AL$15,1,FALSE))=TRUE,IF(AND(ISERROR(FIND("NeighMkt",$CX$102))=FALSE,LEFT($CW$111,10)="ALL OUTLET",$CA141&lt;&gt;"",DJ141&lt;&gt;""),"",IF(AND($CV141&lt;&gt;$CW141,$CW141=CR$110),$DJ141,"")),"")</f>
      </c>
      <c s="76">
        <f>IF(ISERROR(VLOOKUP(CV141,$AL$8:$AL$15,1,FALSE))=TRUE,IF(CR141&lt;&gt;"",IF(CR141&gt;0,RANK(CR141,$CR$111:$CR$300),""),""),"")</f>
      </c>
      <c s="75">
        <f>IF(ISERROR(VLOOKUP(CV141,$AL$8:$AL$15,1,FALSE))=TRUE,IF(AND(ISERROR(FIND("NeighMkt",$CX$102))=FALSE,LEFT($CW$111,10)="ALL OUTLET",$CA141&lt;&gt;"",DJ141&lt;&gt;""),"",IF($Z$4="",IF(AND($CV141&lt;&gt;$CW141,$CW141=CT$110),$DJ141,""),IF(AND($CV141&lt;&gt;$CW141,$CW141&lt;&gt;CN$110,$CW141&lt;&gt;CP$110,$CW141&lt;&gt;CR$110,$CW141&lt;&gt;$CV$111),$DJ141,""))),"")</f>
      </c>
      <c s="76">
        <f>IF(ISERROR(VLOOKUP(CV141,$AL$8:$AL$15,1,FALSE))=TRUE,IF(CT141&lt;&gt;"",IF(CT141&gt;0,RANK(CT141,$CT$111:$CT$300),""),""),"")</f>
      </c>
      <c s="65" t="str">
        <f t="shared" si="2"/>
        <v>Brookshire Foods</v>
      </c>
      <c s="65" t="str">
        <f t="shared" si="3"/>
        <v>GroceryX</v>
      </c>
      <c s="72" t="str">
        <f>IF('[1]Leakage Tree Data'!A40&lt;&gt;"",'[1]Leakage Tree Data'!A40,"")</f>
        <v>Total US - Brookshire Foods</v>
      </c>
      <c s="72" t="str">
        <f>IF('[1]Leakage Tree Data'!B40&lt;&gt;"",'[1]Leakage Tree Data'!B40,"")</f>
        <v>Total US - GroceryX</v>
      </c>
      <c s="72">
        <f>IF('[1]Leakage Tree Data'!C40&lt;&gt;"",'[1]Leakage Tree Data'!C40,"")</f>
        <v>121171760.292236</v>
      </c>
      <c s="72">
        <f>IF('[1]Leakage Tree Data'!D40&lt;&gt;"",'[1]Leakage Tree Data'!D40,"")</f>
        <v>911403.295959473</v>
      </c>
      <c s="72">
        <f>IF('[1]Leakage Tree Data'!E40&lt;&gt;"",'[1]Leakage Tree Data'!E40,"")</f>
        <v>0.752158170980923</v>
      </c>
      <c s="72">
        <f>IF('[1]Leakage Tree Data'!F40&lt;&gt;"",'[1]Leakage Tree Data'!F40,"")</f>
        <v>120260356.996277</v>
      </c>
      <c s="72">
        <f>IF('[1]Leakage Tree Data'!G40&lt;&gt;"",'[1]Leakage Tree Data'!G40,"")</f>
        <v>99.2478418290191</v>
      </c>
      <c s="72">
        <f>IF('[1]Leakage Tree Data'!H40&lt;&gt;"",'[1]Leakage Tree Data'!H40,"")</f>
        <v>61518209.9918823</v>
      </c>
      <c s="72" t="str">
        <f>IF('[1]Leakage Tree Data'!I40&lt;&gt;"",'[1]Leakage Tree Data'!I40,"")</f>
        <v>GroceryX</v>
      </c>
      <c s="72">
        <f>IF('[1]Leakage Tree Data'!J40&lt;&gt;"",'[1]Leakage Tree Data'!J40,"")</f>
      </c>
      <c s="72">
        <f>IF('[1]Leakage Tree Data'!K40&lt;&gt;"",'[1]Leakage Tree Data'!K40,"")</f>
      </c>
      <c s="72">
        <f>IF('[1]Leakage Tree Data'!L40&lt;&gt;"",'[1]Leakage Tree Data'!L40,"")</f>
      </c>
      <c s="72">
        <f>IF('[1]Leakage Tree Data'!M40&lt;&gt;"",'[1]Leakage Tree Data'!M40,"")</f>
      </c>
      <c s="72">
        <f>IF('[1]Leakage Tree Data'!N40&lt;&gt;"",'[1]Leakage Tree Data'!N40,"")</f>
      </c>
      <c s="72">
        <f>IF('[1]Leakage Tree Data'!O40&lt;&gt;"",'[1]Leakage Tree Data'!O40,"")</f>
        <v>24.0924933659968</v>
      </c>
      <c s="72">
        <f>IF('[1]Leakage Tree Data'!P40&lt;&gt;"",'[1]Leakage Tree Data'!P40,"")</f>
        <v>167453.018079127</v>
      </c>
      <c s="72">
        <f>IF('[1]Leakage Tree Data'!Q40&lt;&gt;"",'[1]Leakage Tree Data'!Q40,"")</f>
      </c>
      <c s="72">
        <f>IF('[1]Leakage Tree Data'!R40&lt;&gt;"",'[1]Leakage Tree Data'!R40,"")</f>
        <v>1017625.85098267</v>
      </c>
      <c s="72">
        <f>IF('[1]Leakage Tree Data'!S40&lt;&gt;"",'[1]Leakage Tree Data'!S40,"")</f>
        <v>32622.8024291992</v>
      </c>
      <c s="72">
        <f>IF('[1]Leakage Tree Data'!T40&lt;&gt;"",'[1]Leakage Tree Data'!T40,"")</f>
        <v>0.0207805137602042</v>
      </c>
      <c s="72">
        <f>IF('[1]Leakage Tree Data'!U40&lt;&gt;"",'[1]Leakage Tree Data'!U40,"")</f>
        <v>985003.048553467</v>
      </c>
      <c s="72">
        <f>IF('[1]Leakage Tree Data'!V40&lt;&gt;"",'[1]Leakage Tree Data'!V40,"")</f>
        <v>-0.0207805137602008</v>
      </c>
      <c s="72">
        <f>IF('[1]Leakage Tree Data'!W40&lt;&gt;"",'[1]Leakage Tree Data'!W40,"")</f>
        <v>-1855949.2237854</v>
      </c>
      <c s="72">
        <f>IF('[1]Leakage Tree Data'!X40&lt;&gt;"",'[1]Leakage Tree Data'!X40,"")</f>
      </c>
      <c s="72">
        <f>IF('[1]Leakage Tree Data'!Y40&lt;&gt;"",'[1]Leakage Tree Data'!Y40,"")</f>
      </c>
      <c s="72">
        <f>IF('[1]Leakage Tree Data'!Z40&lt;&gt;"",'[1]Leakage Tree Data'!Z40,"")</f>
      </c>
      <c s="72">
        <f>IF('[1]Leakage Tree Data'!AA40&lt;&gt;"",'[1]Leakage Tree Data'!AA40,"")</f>
      </c>
      <c s="72">
        <f>IF('[1]Leakage Tree Data'!AB40&lt;&gt;"",'[1]Leakage Tree Data'!AB40,"")</f>
      </c>
      <c s="72">
        <f>IF('[1]Leakage Tree Data'!AC40&lt;&gt;"",'[1]Leakage Tree Data'!AC40,"")</f>
      </c>
      <c s="72">
        <f>IF('[1]Leakage Tree Data'!AD40&lt;&gt;"",'[1]Leakage Tree Data'!AD40,"")</f>
        <v>1.11054535990552</v>
      </c>
      <c s="72">
        <f>IF('[1]Leakage Tree Data'!AE40&lt;&gt;"",'[1]Leakage Tree Data'!AE40,"")</f>
      </c>
      <c s="73">
        <f t="shared" si="4"/>
      </c>
      <c s="73">
        <f t="shared" si="5"/>
      </c>
      <c s="73">
        <f t="shared" si="6"/>
      </c>
      <c s="73">
        <f t="shared" si="7"/>
      </c>
      <c s="74">
        <f t="shared" si="8"/>
      </c>
      <c s="74">
        <f t="shared" si="9"/>
      </c>
      <c s="69" t="str">
        <f t="shared" si="0"/>
        <v>Total US - Brookshire Foods</v>
      </c>
      <c s="69" t="str">
        <f t="shared" si="1"/>
        <v>Total US - GroceryX</v>
      </c>
      <c s="77"/>
    </row>
    <row r="142" spans="1:141" ht="15">
      <c r="A1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142,$AL$8:$AL$15,1,FALSE))=TRUE,IF(AND(CV142=CW142,CV142&lt;&gt;"",DI$111&lt;&gt;"",DK142&lt;&gt;""),IF(CW$101="Y",DK142-IF(ISERROR(VLOOKUP(CV142,$CA$113:$DK$300,37,FALSE))=TRUE,0,IF(VLOOKUP(CV142,$CA$113:$DK$300,37,FALSE)="",0,VLOOKUP(CV142,$CA$113:$DK$300,37,FALSE))),DK142-IF(AND(CW$102="Y",CV142=$CW$111),DI$111,0)),""),"")</f>
      </c>
      <c s="76">
        <f>IF(ISERROR(VLOOKUP(CV142,$AL$8:$AL$15,1,FALSE))=TRUE,IF(CB142&lt;&gt;"",IF(CB142&gt;0,IF(Z$4&lt;&gt;"",MIN(4,RANK(CB142,$CB$111:$CB$300)),RANK(CB142,$CB$111:$CB$300)),""),""),"")</f>
      </c>
      <c s="75">
        <f>IF(ISERROR(VLOOKUP(CV142,$AL$8:$AL$15,1,FALSE))=TRUE,IF(AND(ISERROR(FIND("NeighMkt",$CX$102))=FALSE,LEFT($CW$111,10)="ALL OUTLET",$CA142&lt;&gt;"",DK142&lt;&gt;""),"",IF(AND($CV142&lt;&gt;$CW142,$CW142=CD$110),$DK142,"")),"")</f>
      </c>
      <c s="76">
        <f>IF(ISERROR(VLOOKUP(CV142,$AL$8:$AL$15,1,FALSE))=TRUE,IF(CD142&lt;&gt;"",IF(CD142&gt;0,RANK(CD142,$CD$111:$CD$300),""),""),"")</f>
      </c>
      <c s="75">
        <f>IF(ISERROR(VLOOKUP(CV142,$AL$8:$AL$15,1,FALSE))=TRUE,IF(AND(ISERROR(FIND("NeighMkt",$CX$102))=FALSE,LEFT($CW$111,10)="ALL OUTLET",$CA142&lt;&gt;"",DK142&lt;&gt;""),"",IF(AND($CV142&lt;&gt;$CW142,$CW142=CF$110),$DK142,"")),"")</f>
      </c>
      <c s="76">
        <f>IF(ISERROR(VLOOKUP(CV142,$AL$8:$AL$15,1,FALSE))=TRUE,IF(CF142&lt;&gt;"",IF(CF142&gt;0,RANK(CF142,$CF$111:$CF$300),""),""),"")</f>
      </c>
      <c s="75">
        <f>IF(ISERROR(VLOOKUP(CV142,$AL$8:$AL$15,1,FALSE))=TRUE,IF(AND(ISERROR(FIND("NeighMkt",$CX$102))=FALSE,LEFT($CW$111,10)="ALL OUTLET",$CA142&lt;&gt;"",DK142&lt;&gt;""),"",IF(AND($CV142&lt;&gt;$CW142,$CW142=CH$110),$DK142,"")),"")</f>
      </c>
      <c s="76">
        <f>IF(ISERROR(VLOOKUP(CV142,$AL$8:$AL$15,1,FALSE))=TRUE,IF(CH142&lt;&gt;"",IF(CH142&gt;0,RANK(CH142,$CH$111:$CH$300),""),""),"")</f>
      </c>
      <c s="75">
        <f>IF(ISERROR(VLOOKUP(CV142,$AL$8:$AL$15,1,FALSE))=TRUE,IF(AND(ISERROR(FIND("NeighMkt",$CX$102))=FALSE,LEFT($CW$111,10)="ALL OUTLET",$CA142&lt;&gt;"",DK142&lt;&gt;""),"",IF($Z$4="",IF(AND($CV142&lt;&gt;$CW142,$CW142=CJ$110),$DK142,""),IF(AND($CV142&lt;&gt;$CW142,$CW142&lt;&gt;CD$110,$CW142&lt;&gt;CF$110,$CW142&lt;&gt;CH$110,$CW142&lt;&gt;$CV$111),$DK142,""))),"")</f>
      </c>
      <c s="76">
        <f>IF(ISERROR(VLOOKUP(CV142,$AL$8:$AL$15,1,FALSE))=TRUE,IF(CJ142&lt;&gt;"",IF(CJ142&gt;0,RANK(CJ142,$CJ$111:$CJ$300),""),""),"")</f>
      </c>
      <c s="75">
        <f>IF(ISERROR(VLOOKUP(CV142,$AL$8:$AL$15,1,FALSE))=TRUE,IF(AND(CV142=CW142,CV142&lt;&gt;"",DJ142&lt;&gt;""),IF(AND(ISERROR(FIND("NeighMkt",$CX$102))=FALSE,LEFT($CW$111,10)="ALL OUTLET"),DJ142-IF(ISERROR(VLOOKUP(CV142,$CA$113:$DK$300,36,FALSE))=TRUE,0,IF(VLOOKUP(CV142,$CA$113:$DK$300,36,FALSE)="",0,VLOOKUP(CV142,$CA$113:$DK$300,36,FALSE))),DJ142),""),"")</f>
      </c>
      <c s="76">
        <f>IF(ISERROR(VLOOKUP(CV142,$AL$8:$AL$15,1,FALSE))=TRUE,IF(CL142&lt;&gt;"",IF(CL142&gt;0,IF($Z$4&lt;&gt;"",MIN(4,RANK(CL142,$CL$111:$CL$300)),RANK(CL142,$CL$111:$CL$300)),""),""),"")</f>
      </c>
      <c s="75">
        <f>IF(ISERROR(VLOOKUP(CV142,$AL$8:$AL$15,1,FALSE))=TRUE,IF(AND(ISERROR(FIND("NeighMkt",$CX$102))=FALSE,LEFT($CW$111,10)="ALL OUTLET",$CA142&lt;&gt;"",DJ142&lt;&gt;""),"",IF(AND($CV142&lt;&gt;$CW142,$CW142=CN$110),$DJ142,"")),"")</f>
      </c>
      <c s="76">
        <f>IF(ISERROR(VLOOKUP(CV142,$AL$8:$AL$15,1,FALSE))=TRUE,IF(CN142&lt;&gt;"",IF(CN142&gt;0,RANK(CN142,$CN$111:$CN$300),""),""),"")</f>
      </c>
      <c s="75">
        <f>IF(ISERROR(VLOOKUP(CV142,$AL$8:$AL$15,1,FALSE))=TRUE,IF(AND(ISERROR(FIND("NeighMkt",$CX$102))=FALSE,LEFT($CW$111,10)="ALL OUTLET",$CA142&lt;&gt;"",DJ142&lt;&gt;""),"",IF(AND($CV142&lt;&gt;$CW142,$CW142=CP$110),$DJ142,"")),"")</f>
      </c>
      <c s="76">
        <f>IF(ISERROR(VLOOKUP(CV142,$AL$8:$AL$15,1,FALSE))=TRUE,IF(CP142&lt;&gt;"",IF(CP142&gt;0,RANK(CP142,$CP$111:$CP$300),""),""),"")</f>
      </c>
      <c s="75">
        <f>IF(ISERROR(VLOOKUP(CV142,$AL$8:$AL$15,1,FALSE))=TRUE,IF(AND(ISERROR(FIND("NeighMkt",$CX$102))=FALSE,LEFT($CW$111,10)="ALL OUTLET",$CA142&lt;&gt;"",DJ142&lt;&gt;""),"",IF(AND($CV142&lt;&gt;$CW142,$CW142=CR$110),$DJ142,"")),"")</f>
      </c>
      <c s="76">
        <f>IF(ISERROR(VLOOKUP(CV142,$AL$8:$AL$15,1,FALSE))=TRUE,IF(CR142&lt;&gt;"",IF(CR142&gt;0,RANK(CR142,$CR$111:$CR$300),""),""),"")</f>
      </c>
      <c s="75">
        <f>IF(ISERROR(VLOOKUP(CV142,$AL$8:$AL$15,1,FALSE))=TRUE,IF(AND(ISERROR(FIND("NeighMkt",$CX$102))=FALSE,LEFT($CW$111,10)="ALL OUTLET",$CA142&lt;&gt;"",DJ142&lt;&gt;""),"",IF($Z$4="",IF(AND($CV142&lt;&gt;$CW142,$CW142=CT$110),$DJ142,""),IF(AND($CV142&lt;&gt;$CW142,$CW142&lt;&gt;CN$110,$CW142&lt;&gt;CP$110,$CW142&lt;&gt;CR$110,$CW142&lt;&gt;$CV$111),$DJ142,""))),"")</f>
      </c>
      <c s="76">
        <f>IF(ISERROR(VLOOKUP(CV142,$AL$8:$AL$15,1,FALSE))=TRUE,IF(CT142&lt;&gt;"",IF(CT142&gt;0,RANK(CT142,$CT$111:$CT$300),""),""),"")</f>
      </c>
      <c s="65" t="str">
        <f t="shared" si="2"/>
        <v>C Town</v>
      </c>
      <c s="65" t="str">
        <f t="shared" si="3"/>
        <v>GroceryX</v>
      </c>
      <c s="72" t="str">
        <f>IF('[1]Leakage Tree Data'!A41&lt;&gt;"",'[1]Leakage Tree Data'!A41,"")</f>
        <v>Total US - C Town</v>
      </c>
      <c s="72" t="str">
        <f>IF('[1]Leakage Tree Data'!B41&lt;&gt;"",'[1]Leakage Tree Data'!B41,"")</f>
        <v>Total US - GroceryX</v>
      </c>
      <c s="72">
        <f>IF('[1]Leakage Tree Data'!C41&lt;&gt;"",'[1]Leakage Tree Data'!C41,"")</f>
        <v>121171760.292236</v>
      </c>
      <c s="72">
        <f>IF('[1]Leakage Tree Data'!D41&lt;&gt;"",'[1]Leakage Tree Data'!D41,"")</f>
        <v>782622.565979004</v>
      </c>
      <c s="72">
        <f>IF('[1]Leakage Tree Data'!E41&lt;&gt;"",'[1]Leakage Tree Data'!E41,"")</f>
        <v>0.645878680058383</v>
      </c>
      <c s="72">
        <f>IF('[1]Leakage Tree Data'!F41&lt;&gt;"",'[1]Leakage Tree Data'!F41,"")</f>
        <v>120389137.726257</v>
      </c>
      <c s="72">
        <f>IF('[1]Leakage Tree Data'!G41&lt;&gt;"",'[1]Leakage Tree Data'!G41,"")</f>
        <v>99.3541213199416</v>
      </c>
      <c s="72">
        <f>IF('[1]Leakage Tree Data'!H41&lt;&gt;"",'[1]Leakage Tree Data'!H41,"")</f>
        <v>61518209.9918823</v>
      </c>
      <c s="72" t="str">
        <f>IF('[1]Leakage Tree Data'!I41&lt;&gt;"",'[1]Leakage Tree Data'!I41,"")</f>
        <v>GroceryX</v>
      </c>
      <c s="72">
        <f>IF('[1]Leakage Tree Data'!J41&lt;&gt;"",'[1]Leakage Tree Data'!J41,"")</f>
      </c>
      <c s="72">
        <f>IF('[1]Leakage Tree Data'!K41&lt;&gt;"",'[1]Leakage Tree Data'!K41,"")</f>
      </c>
      <c s="72">
        <f>IF('[1]Leakage Tree Data'!L41&lt;&gt;"",'[1]Leakage Tree Data'!L41,"")</f>
      </c>
      <c s="72">
        <f>IF('[1]Leakage Tree Data'!M41&lt;&gt;"",'[1]Leakage Tree Data'!M41,"")</f>
      </c>
      <c s="72">
        <f>IF('[1]Leakage Tree Data'!N41&lt;&gt;"",'[1]Leakage Tree Data'!N41,"")</f>
      </c>
      <c s="72">
        <f>IF('[1]Leakage Tree Data'!O41&lt;&gt;"",'[1]Leakage Tree Data'!O41,"")</f>
        <v>18.0254174215079</v>
      </c>
      <c s="72">
        <f>IF('[1]Leakage Tree Data'!P41&lt;&gt;"",'[1]Leakage Tree Data'!P41,"")</f>
        <v>152116.846152938</v>
      </c>
      <c s="72">
        <f>IF('[1]Leakage Tree Data'!Q41&lt;&gt;"",'[1]Leakage Tree Data'!Q41,"")</f>
      </c>
      <c s="72">
        <f>IF('[1]Leakage Tree Data'!R41&lt;&gt;"",'[1]Leakage Tree Data'!R41,"")</f>
        <v>1017625.85098267</v>
      </c>
      <c s="72">
        <f>IF('[1]Leakage Tree Data'!S41&lt;&gt;"",'[1]Leakage Tree Data'!S41,"")</f>
        <v>-14901.161315918</v>
      </c>
      <c s="72">
        <f>IF('[1]Leakage Tree Data'!T41&lt;&gt;"",'[1]Leakage Tree Data'!T41,"")</f>
        <v>-0.0178718691870539</v>
      </c>
      <c s="72">
        <f>IF('[1]Leakage Tree Data'!U41&lt;&gt;"",'[1]Leakage Tree Data'!U41,"")</f>
        <v>1032527.01229858</v>
      </c>
      <c s="72">
        <f>IF('[1]Leakage Tree Data'!V41&lt;&gt;"",'[1]Leakage Tree Data'!V41,"")</f>
        <v>0.0178718691870472</v>
      </c>
      <c s="72">
        <f>IF('[1]Leakage Tree Data'!W41&lt;&gt;"",'[1]Leakage Tree Data'!W41,"")</f>
        <v>-1855949.2237854</v>
      </c>
      <c s="72">
        <f>IF('[1]Leakage Tree Data'!X41&lt;&gt;"",'[1]Leakage Tree Data'!X41,"")</f>
      </c>
      <c s="72">
        <f>IF('[1]Leakage Tree Data'!Y41&lt;&gt;"",'[1]Leakage Tree Data'!Y41,"")</f>
      </c>
      <c s="72">
        <f>IF('[1]Leakage Tree Data'!Z41&lt;&gt;"",'[1]Leakage Tree Data'!Z41,"")</f>
      </c>
      <c s="72">
        <f>IF('[1]Leakage Tree Data'!AA41&lt;&gt;"",'[1]Leakage Tree Data'!AA41,"")</f>
      </c>
      <c s="72">
        <f>IF('[1]Leakage Tree Data'!AB41&lt;&gt;"",'[1]Leakage Tree Data'!AB41,"")</f>
      </c>
      <c s="72">
        <f>IF('[1]Leakage Tree Data'!AC41&lt;&gt;"",'[1]Leakage Tree Data'!AC41,"")</f>
      </c>
      <c s="72">
        <f>IF('[1]Leakage Tree Data'!AD41&lt;&gt;"",'[1]Leakage Tree Data'!AD41,"")</f>
        <v>-1.82772389742637</v>
      </c>
      <c s="72">
        <f>IF('[1]Leakage Tree Data'!AE41&lt;&gt;"",'[1]Leakage Tree Data'!AE41,"")</f>
      </c>
      <c s="73">
        <f t="shared" si="4"/>
      </c>
      <c s="73">
        <f t="shared" si="5"/>
      </c>
      <c s="73">
        <f t="shared" si="6"/>
      </c>
      <c s="73">
        <f t="shared" si="7"/>
      </c>
      <c s="74">
        <f t="shared" si="8"/>
      </c>
      <c s="74">
        <f t="shared" si="9"/>
      </c>
      <c s="69" t="str">
        <f t="shared" si="0"/>
        <v>Total US - C Town</v>
      </c>
      <c s="69" t="str">
        <f t="shared" si="1"/>
        <v>Total US - GroceryX</v>
      </c>
      <c s="77"/>
    </row>
    <row r="143" spans="1:141" ht="15">
      <c r="A1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143,$AL$8:$AL$15,1,FALSE))=TRUE,IF(AND(CV143=CW143,CV143&lt;&gt;"",DI$111&lt;&gt;"",DK143&lt;&gt;""),IF(CW$101="Y",DK143-IF(ISERROR(VLOOKUP(CV143,$CA$113:$DK$300,37,FALSE))=TRUE,0,IF(VLOOKUP(CV143,$CA$113:$DK$300,37,FALSE)="",0,VLOOKUP(CV143,$CA$113:$DK$300,37,FALSE))),DK143-IF(AND(CW$102="Y",CV143=$CW$111),DI$111,0)),""),"")</f>
      </c>
      <c s="76">
        <f>IF(ISERROR(VLOOKUP(CV143,$AL$8:$AL$15,1,FALSE))=TRUE,IF(CB143&lt;&gt;"",IF(CB143&gt;0,IF(Z$4&lt;&gt;"",MIN(4,RANK(CB143,$CB$111:$CB$300)),RANK(CB143,$CB$111:$CB$300)),""),""),"")</f>
      </c>
      <c s="75">
        <f>IF(ISERROR(VLOOKUP(CV143,$AL$8:$AL$15,1,FALSE))=TRUE,IF(AND(ISERROR(FIND("NeighMkt",$CX$102))=FALSE,LEFT($CW$111,10)="ALL OUTLET",$CA143&lt;&gt;"",DK143&lt;&gt;""),"",IF(AND($CV143&lt;&gt;$CW143,$CW143=CD$110),$DK143,"")),"")</f>
        <v>1977933.65781403</v>
      </c>
      <c s="76">
        <f>IF(ISERROR(VLOOKUP(CV143,$AL$8:$AL$15,1,FALSE))=TRUE,IF(CD143&lt;&gt;"",IF(CD143&gt;0,RANK(CD143,$CD$111:$CD$300),""),""),"")</f>
        <v>23</v>
      </c>
      <c s="75">
        <f>IF(ISERROR(VLOOKUP(CV143,$AL$8:$AL$15,1,FALSE))=TRUE,IF(AND(ISERROR(FIND("NeighMkt",$CX$102))=FALSE,LEFT($CW$111,10)="ALL OUTLET",$CA143&lt;&gt;"",DK143&lt;&gt;""),"",IF(AND($CV143&lt;&gt;$CW143,$CW143=CF$110),$DK143,"")),"")</f>
      </c>
      <c s="76">
        <f>IF(ISERROR(VLOOKUP(CV143,$AL$8:$AL$15,1,FALSE))=TRUE,IF(CF143&lt;&gt;"",IF(CF143&gt;0,RANK(CF143,$CF$111:$CF$300),""),""),"")</f>
      </c>
      <c s="75">
        <f>IF(ISERROR(VLOOKUP(CV143,$AL$8:$AL$15,1,FALSE))=TRUE,IF(AND(ISERROR(FIND("NeighMkt",$CX$102))=FALSE,LEFT($CW$111,10)="ALL OUTLET",$CA143&lt;&gt;"",DK143&lt;&gt;""),"",IF(AND($CV143&lt;&gt;$CW143,$CW143=CH$110),$DK143,"")),"")</f>
      </c>
      <c s="76">
        <f>IF(ISERROR(VLOOKUP(CV143,$AL$8:$AL$15,1,FALSE))=TRUE,IF(CH143&lt;&gt;"",IF(CH143&gt;0,RANK(CH143,$CH$111:$CH$300),""),""),"")</f>
      </c>
      <c s="75">
        <f>IF(ISERROR(VLOOKUP(CV143,$AL$8:$AL$15,1,FALSE))=TRUE,IF(AND(ISERROR(FIND("NeighMkt",$CX$102))=FALSE,LEFT($CW$111,10)="ALL OUTLET",$CA143&lt;&gt;"",DK143&lt;&gt;""),"",IF($Z$4="",IF(AND($CV143&lt;&gt;$CW143,$CW143=CJ$110),$DK143,""),IF(AND($CV143&lt;&gt;$CW143,$CW143&lt;&gt;CD$110,$CW143&lt;&gt;CF$110,$CW143&lt;&gt;CH$110,$CW143&lt;&gt;$CV$111),$DK143,""))),"")</f>
      </c>
      <c s="76">
        <f>IF(ISERROR(VLOOKUP(CV143,$AL$8:$AL$15,1,FALSE))=TRUE,IF(CJ143&lt;&gt;"",IF(CJ143&gt;0,RANK(CJ143,$CJ$111:$CJ$300),""),""),"")</f>
      </c>
      <c s="75">
        <f>IF(ISERROR(VLOOKUP(CV143,$AL$8:$AL$15,1,FALSE))=TRUE,IF(AND(CV143=CW143,CV143&lt;&gt;"",DJ143&lt;&gt;""),IF(AND(ISERROR(FIND("NeighMkt",$CX$102))=FALSE,LEFT($CW$111,10)="ALL OUTLET"),DJ143-IF(ISERROR(VLOOKUP(CV143,$CA$113:$DK$300,36,FALSE))=TRUE,0,IF(VLOOKUP(CV143,$CA$113:$DK$300,36,FALSE)="",0,VLOOKUP(CV143,$CA$113:$DK$300,36,FALSE))),DJ143),""),"")</f>
      </c>
      <c s="76">
        <f>IF(ISERROR(VLOOKUP(CV143,$AL$8:$AL$15,1,FALSE))=TRUE,IF(CL143&lt;&gt;"",IF(CL143&gt;0,IF($Z$4&lt;&gt;"",MIN(4,RANK(CL143,$CL$111:$CL$300)),RANK(CL143,$CL$111:$CL$300)),""),""),"")</f>
      </c>
      <c s="75">
        <f>IF(ISERROR(VLOOKUP(CV143,$AL$8:$AL$15,1,FALSE))=TRUE,IF(AND(ISERROR(FIND("NeighMkt",$CX$102))=FALSE,LEFT($CW$111,10)="ALL OUTLET",$CA143&lt;&gt;"",DJ143&lt;&gt;""),"",IF(AND($CV143&lt;&gt;$CW143,$CW143=CN$110),$DJ143,"")),"")</f>
        <v>2532345.04463196</v>
      </c>
      <c s="76">
        <f>IF(ISERROR(VLOOKUP(CV143,$AL$8:$AL$15,1,FALSE))=TRUE,IF(CN143&lt;&gt;"",IF(CN143&gt;0,RANK(CN143,$CN$111:$CN$300),""),""),"")</f>
        <v>38</v>
      </c>
      <c s="75">
        <f>IF(ISERROR(VLOOKUP(CV143,$AL$8:$AL$15,1,FALSE))=TRUE,IF(AND(ISERROR(FIND("NeighMkt",$CX$102))=FALSE,LEFT($CW$111,10)="ALL OUTLET",$CA143&lt;&gt;"",DJ143&lt;&gt;""),"",IF(AND($CV143&lt;&gt;$CW143,$CW143=CP$110),$DJ143,"")),"")</f>
      </c>
      <c s="76">
        <f>IF(ISERROR(VLOOKUP(CV143,$AL$8:$AL$15,1,FALSE))=TRUE,IF(CP143&lt;&gt;"",IF(CP143&gt;0,RANK(CP143,$CP$111:$CP$300),""),""),"")</f>
      </c>
      <c s="75">
        <f>IF(ISERROR(VLOOKUP(CV143,$AL$8:$AL$15,1,FALSE))=TRUE,IF(AND(ISERROR(FIND("NeighMkt",$CX$102))=FALSE,LEFT($CW$111,10)="ALL OUTLET",$CA143&lt;&gt;"",DJ143&lt;&gt;""),"",IF(AND($CV143&lt;&gt;$CW143,$CW143=CR$110),$DJ143,"")),"")</f>
      </c>
      <c s="76">
        <f>IF(ISERROR(VLOOKUP(CV143,$AL$8:$AL$15,1,FALSE))=TRUE,IF(CR143&lt;&gt;"",IF(CR143&gt;0,RANK(CR143,$CR$111:$CR$300),""),""),"")</f>
      </c>
      <c s="75">
        <f>IF(ISERROR(VLOOKUP(CV143,$AL$8:$AL$15,1,FALSE))=TRUE,IF(AND(ISERROR(FIND("NeighMkt",$CX$102))=FALSE,LEFT($CW$111,10)="ALL OUTLET",$CA143&lt;&gt;"",DJ143&lt;&gt;""),"",IF($Z$4="",IF(AND($CV143&lt;&gt;$CW143,$CW143=CT$110),$DJ143,""),IF(AND($CV143&lt;&gt;$CW143,$CW143&lt;&gt;CN$110,$CW143&lt;&gt;CP$110,$CW143&lt;&gt;CR$110,$CW143&lt;&gt;$CV$111),$DJ143,""))),"")</f>
      </c>
      <c s="76">
        <f>IF(ISERROR(VLOOKUP(CV143,$AL$8:$AL$15,1,FALSE))=TRUE,IF(CT143&lt;&gt;"",IF(CT143&gt;0,RANK(CT143,$CT$111:$CT$300),""),""),"")</f>
      </c>
      <c s="65" t="str">
        <f t="shared" si="2"/>
        <v>Cub Foods</v>
      </c>
      <c s="65" t="str">
        <f t="shared" si="3"/>
        <v>GroceryX</v>
      </c>
      <c s="72" t="str">
        <f>IF('[1]Leakage Tree Data'!A42&lt;&gt;"",'[1]Leakage Tree Data'!A42,"")</f>
        <v>Total US - Cub Foods</v>
      </c>
      <c s="72" t="str">
        <f>IF('[1]Leakage Tree Data'!B42&lt;&gt;"",'[1]Leakage Tree Data'!B42,"")</f>
        <v>Total US - GroceryX</v>
      </c>
      <c s="72">
        <f>IF('[1]Leakage Tree Data'!C42&lt;&gt;"",'[1]Leakage Tree Data'!C42,"")</f>
        <v>121171760.292236</v>
      </c>
      <c s="72">
        <f>IF('[1]Leakage Tree Data'!D42&lt;&gt;"",'[1]Leakage Tree Data'!D42,"")</f>
        <v>1569393.66162109</v>
      </c>
      <c s="72">
        <f>IF('[1]Leakage Tree Data'!E42&lt;&gt;"",'[1]Leakage Tree Data'!E42,"")</f>
        <v>1.29518103709652</v>
      </c>
      <c s="72">
        <f>IF('[1]Leakage Tree Data'!F42&lt;&gt;"",'[1]Leakage Tree Data'!F42,"")</f>
        <v>119602366.630615</v>
      </c>
      <c s="72">
        <f>IF('[1]Leakage Tree Data'!G42&lt;&gt;"",'[1]Leakage Tree Data'!G42,"")</f>
        <v>98.7048189629035</v>
      </c>
      <c s="72">
        <f>IF('[1]Leakage Tree Data'!H42&lt;&gt;"",'[1]Leakage Tree Data'!H42,"")</f>
        <v>61518209.9918823</v>
      </c>
      <c s="72" t="str">
        <f>IF('[1]Leakage Tree Data'!I42&lt;&gt;"",'[1]Leakage Tree Data'!I42,"")</f>
        <v>GroceryX</v>
      </c>
      <c s="72">
        <f>IF('[1]Leakage Tree Data'!J42&lt;&gt;"",'[1]Leakage Tree Data'!J42,"")</f>
        <v>99.3377558853689</v>
      </c>
      <c s="72">
        <f>IF('[1]Leakage Tree Data'!K42&lt;&gt;"",'[1]Leakage Tree Data'!K42,"")</f>
        <v>407400.725097656</v>
      </c>
      <c s="72">
        <f>IF('[1]Leakage Tree Data'!L42&lt;&gt;"",'[1]Leakage Tree Data'!L42,"")</f>
        <v>1977933.65781403</v>
      </c>
      <c s="72">
        <f>IF('[1]Leakage Tree Data'!M42&lt;&gt;"",'[1]Leakage Tree Data'!M42,"")</f>
        <v>2532345.04463196</v>
      </c>
      <c s="72">
        <f>IF('[1]Leakage Tree Data'!N42&lt;&gt;"",'[1]Leakage Tree Data'!N42,"")</f>
        <v>1977933.65781403</v>
      </c>
      <c s="72">
        <f>IF('[1]Leakage Tree Data'!O42&lt;&gt;"",'[1]Leakage Tree Data'!O42,"")</f>
        <v>33.9343203780682</v>
      </c>
      <c s="72">
        <f>IF('[1]Leakage Tree Data'!P42&lt;&gt;"",'[1]Leakage Tree Data'!P42,"")</f>
        <v>226542.748809266</v>
      </c>
      <c s="72">
        <f>IF('[1]Leakage Tree Data'!Q42&lt;&gt;"",'[1]Leakage Tree Data'!Q42,"")</f>
      </c>
      <c s="72">
        <f>IF('[1]Leakage Tree Data'!R42&lt;&gt;"",'[1]Leakage Tree Data'!R42,"")</f>
        <v>1017625.85098267</v>
      </c>
      <c s="72">
        <f>IF('[1]Leakage Tree Data'!S42&lt;&gt;"",'[1]Leakage Tree Data'!S42,"")</f>
        <v>28580.2462463379</v>
      </c>
      <c s="72">
        <f>IF('[1]Leakage Tree Data'!T42&lt;&gt;"",'[1]Leakage Tree Data'!T42,"")</f>
        <v>0.0128169948270465</v>
      </c>
      <c s="72">
        <f>IF('[1]Leakage Tree Data'!U42&lt;&gt;"",'[1]Leakage Tree Data'!U42,"")</f>
        <v>989045.604736328</v>
      </c>
      <c s="72">
        <f>IF('[1]Leakage Tree Data'!V42&lt;&gt;"",'[1]Leakage Tree Data'!V42,"")</f>
        <v>-0.012816994827034</v>
      </c>
      <c s="72">
        <f>IF('[1]Leakage Tree Data'!W42&lt;&gt;"",'[1]Leakage Tree Data'!W42,"")</f>
        <v>-1855949.2237854</v>
      </c>
      <c s="72">
        <f>IF('[1]Leakage Tree Data'!X42&lt;&gt;"",'[1]Leakage Tree Data'!X42,"")</f>
      </c>
      <c s="72">
        <f>IF('[1]Leakage Tree Data'!Y42&lt;&gt;"",'[1]Leakage Tree Data'!Y42,"")</f>
        <v>-0.0315500689952444</v>
      </c>
      <c s="72">
        <f>IF('[1]Leakage Tree Data'!Z42&lt;&gt;"",'[1]Leakage Tree Data'!Z42,"")</f>
        <v>7703.67645263672</v>
      </c>
      <c s="72">
        <f>IF('[1]Leakage Tree Data'!AA42&lt;&gt;"",'[1]Leakage Tree Data'!AA42,"")</f>
        <v>345073.369293213</v>
      </c>
      <c s="72">
        <f>IF('[1]Leakage Tree Data'!AB42&lt;&gt;"",'[1]Leakage Tree Data'!AB42,"")</f>
        <v>-404257.465690613</v>
      </c>
      <c s="72">
        <f>IF('[1]Leakage Tree Data'!AC42&lt;&gt;"",'[1]Leakage Tree Data'!AC42,"")</f>
        <v>345073.369293213</v>
      </c>
      <c s="72">
        <f>IF('[1]Leakage Tree Data'!AD42&lt;&gt;"",'[1]Leakage Tree Data'!AD42,"")</f>
        <v>-0.599332393485881</v>
      </c>
      <c s="72">
        <f>IF('[1]Leakage Tree Data'!AE42&lt;&gt;"",'[1]Leakage Tree Data'!AE42,"")</f>
      </c>
      <c s="73">
        <f t="shared" si="4"/>
      </c>
      <c s="73">
        <f t="shared" si="5"/>
      </c>
      <c s="73">
        <f t="shared" si="6"/>
      </c>
      <c s="73">
        <f t="shared" si="7"/>
      </c>
      <c s="74">
        <f t="shared" si="8"/>
      </c>
      <c s="74">
        <f t="shared" si="9"/>
      </c>
      <c s="69" t="str">
        <f t="shared" si="0"/>
        <v>Total US - Cub Foods</v>
      </c>
      <c s="69" t="str">
        <f t="shared" si="1"/>
        <v>Total US - GroceryX</v>
      </c>
      <c s="77"/>
    </row>
    <row r="144" spans="1:141" ht="15">
      <c r="A1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144,$AL$8:$AL$15,1,FALSE))=TRUE,IF(AND(CV144=CW144,CV144&lt;&gt;"",DI$111&lt;&gt;"",DK144&lt;&gt;""),IF(CW$101="Y",DK144-IF(ISERROR(VLOOKUP(CV144,$CA$113:$DK$300,37,FALSE))=TRUE,0,IF(VLOOKUP(CV144,$CA$113:$DK$300,37,FALSE)="",0,VLOOKUP(CV144,$CA$113:$DK$300,37,FALSE))),DK144-IF(AND(CW$102="Y",CV144=$CW$111),DI$111,0)),""),"")</f>
      </c>
      <c s="76">
        <f>IF(ISERROR(VLOOKUP(CV144,$AL$8:$AL$15,1,FALSE))=TRUE,IF(CB144&lt;&gt;"",IF(CB144&gt;0,IF(Z$4&lt;&gt;"",MIN(4,RANK(CB144,$CB$111:$CB$300)),RANK(CB144,$CB$111:$CB$300)),""),""),"")</f>
      </c>
      <c s="75">
        <f>IF(ISERROR(VLOOKUP(CV144,$AL$8:$AL$15,1,FALSE))=TRUE,IF(AND(ISERROR(FIND("NeighMkt",$CX$102))=FALSE,LEFT($CW$111,10)="ALL OUTLET",$CA144&lt;&gt;"",DK144&lt;&gt;""),"",IF(AND($CV144&lt;&gt;$CW144,$CW144=CD$110),$DK144,"")),"")</f>
      </c>
      <c s="76">
        <f>IF(ISERROR(VLOOKUP(CV144,$AL$8:$AL$15,1,FALSE))=TRUE,IF(CD144&lt;&gt;"",IF(CD144&gt;0,RANK(CD144,$CD$111:$CD$300),""),""),"")</f>
      </c>
      <c s="75">
        <f>IF(ISERROR(VLOOKUP(CV144,$AL$8:$AL$15,1,FALSE))=TRUE,IF(AND(ISERROR(FIND("NeighMkt",$CX$102))=FALSE,LEFT($CW$111,10)="ALL OUTLET",$CA144&lt;&gt;"",DK144&lt;&gt;""),"",IF(AND($CV144&lt;&gt;$CW144,$CW144=CF$110),$DK144,"")),"")</f>
      </c>
      <c s="76">
        <f>IF(ISERROR(VLOOKUP(CV144,$AL$8:$AL$15,1,FALSE))=TRUE,IF(CF144&lt;&gt;"",IF(CF144&gt;0,RANK(CF144,$CF$111:$CF$300),""),""),"")</f>
      </c>
      <c s="75">
        <f>IF(ISERROR(VLOOKUP(CV144,$AL$8:$AL$15,1,FALSE))=TRUE,IF(AND(ISERROR(FIND("NeighMkt",$CX$102))=FALSE,LEFT($CW$111,10)="ALL OUTLET",$CA144&lt;&gt;"",DK144&lt;&gt;""),"",IF(AND($CV144&lt;&gt;$CW144,$CW144=CH$110),$DK144,"")),"")</f>
      </c>
      <c s="76">
        <f>IF(ISERROR(VLOOKUP(CV144,$AL$8:$AL$15,1,FALSE))=TRUE,IF(CH144&lt;&gt;"",IF(CH144&gt;0,RANK(CH144,$CH$111:$CH$300),""),""),"")</f>
      </c>
      <c s="75">
        <f>IF(ISERROR(VLOOKUP(CV144,$AL$8:$AL$15,1,FALSE))=TRUE,IF(AND(ISERROR(FIND("NeighMkt",$CX$102))=FALSE,LEFT($CW$111,10)="ALL OUTLET",$CA144&lt;&gt;"",DK144&lt;&gt;""),"",IF($Z$4="",IF(AND($CV144&lt;&gt;$CW144,$CW144=CJ$110),$DK144,""),IF(AND($CV144&lt;&gt;$CW144,$CW144&lt;&gt;CD$110,$CW144&lt;&gt;CF$110,$CW144&lt;&gt;CH$110,$CW144&lt;&gt;$CV$111),$DK144,""))),"")</f>
      </c>
      <c s="76">
        <f>IF(ISERROR(VLOOKUP(CV144,$AL$8:$AL$15,1,FALSE))=TRUE,IF(CJ144&lt;&gt;"",IF(CJ144&gt;0,RANK(CJ144,$CJ$111:$CJ$300),""),""),"")</f>
      </c>
      <c s="75">
        <f>IF(ISERROR(VLOOKUP(CV144,$AL$8:$AL$15,1,FALSE))=TRUE,IF(AND(CV144=CW144,CV144&lt;&gt;"",DJ144&lt;&gt;""),IF(AND(ISERROR(FIND("NeighMkt",$CX$102))=FALSE,LEFT($CW$111,10)="ALL OUTLET"),DJ144-IF(ISERROR(VLOOKUP(CV144,$CA$113:$DK$300,36,FALSE))=TRUE,0,IF(VLOOKUP(CV144,$CA$113:$DK$300,36,FALSE)="",0,VLOOKUP(CV144,$CA$113:$DK$300,36,FALSE))),DJ144),""),"")</f>
      </c>
      <c s="76">
        <f>IF(ISERROR(VLOOKUP(CV144,$AL$8:$AL$15,1,FALSE))=TRUE,IF(CL144&lt;&gt;"",IF(CL144&gt;0,IF($Z$4&lt;&gt;"",MIN(4,RANK(CL144,$CL$111:$CL$300)),RANK(CL144,$CL$111:$CL$300)),""),""),"")</f>
      </c>
      <c s="75">
        <f>IF(ISERROR(VLOOKUP(CV144,$AL$8:$AL$15,1,FALSE))=TRUE,IF(AND(ISERROR(FIND("NeighMkt",$CX$102))=FALSE,LEFT($CW$111,10)="ALL OUTLET",$CA144&lt;&gt;"",DJ144&lt;&gt;""),"",IF(AND($CV144&lt;&gt;$CW144,$CW144=CN$110),$DJ144,"")),"")</f>
      </c>
      <c s="76">
        <f>IF(ISERROR(VLOOKUP(CV144,$AL$8:$AL$15,1,FALSE))=TRUE,IF(CN144&lt;&gt;"",IF(CN144&gt;0,RANK(CN144,$CN$111:$CN$300),""),""),"")</f>
      </c>
      <c s="75">
        <f>IF(ISERROR(VLOOKUP(CV144,$AL$8:$AL$15,1,FALSE))=TRUE,IF(AND(ISERROR(FIND("NeighMkt",$CX$102))=FALSE,LEFT($CW$111,10)="ALL OUTLET",$CA144&lt;&gt;"",DJ144&lt;&gt;""),"",IF(AND($CV144&lt;&gt;$CW144,$CW144=CP$110),$DJ144,"")),"")</f>
      </c>
      <c s="76">
        <f>IF(ISERROR(VLOOKUP(CV144,$AL$8:$AL$15,1,FALSE))=TRUE,IF(CP144&lt;&gt;"",IF(CP144&gt;0,RANK(CP144,$CP$111:$CP$300),""),""),"")</f>
      </c>
      <c s="75">
        <f>IF(ISERROR(VLOOKUP(CV144,$AL$8:$AL$15,1,FALSE))=TRUE,IF(AND(ISERROR(FIND("NeighMkt",$CX$102))=FALSE,LEFT($CW$111,10)="ALL OUTLET",$CA144&lt;&gt;"",DJ144&lt;&gt;""),"",IF(AND($CV144&lt;&gt;$CW144,$CW144=CR$110),$DJ144,"")),"")</f>
      </c>
      <c s="76">
        <f>IF(ISERROR(VLOOKUP(CV144,$AL$8:$AL$15,1,FALSE))=TRUE,IF(CR144&lt;&gt;"",IF(CR144&gt;0,RANK(CR144,$CR$111:$CR$300),""),""),"")</f>
      </c>
      <c s="75">
        <f>IF(ISERROR(VLOOKUP(CV144,$AL$8:$AL$15,1,FALSE))=TRUE,IF(AND(ISERROR(FIND("NeighMkt",$CX$102))=FALSE,LEFT($CW$111,10)="ALL OUTLET",$CA144&lt;&gt;"",DJ144&lt;&gt;""),"",IF($Z$4="",IF(AND($CV144&lt;&gt;$CW144,$CW144=CT$110),$DJ144,""),IF(AND($CV144&lt;&gt;$CW144,$CW144&lt;&gt;CN$110,$CW144&lt;&gt;CP$110,$CW144&lt;&gt;CR$110,$CW144&lt;&gt;$CV$111),$DJ144,""))),"")</f>
      </c>
      <c s="76">
        <f>IF(ISERROR(VLOOKUP(CV144,$AL$8:$AL$15,1,FALSE))=TRUE,IF(CT144&lt;&gt;"",IF(CT144&gt;0,RANK(CT144,$CT$111:$CT$300),""),""),"")</f>
      </c>
      <c s="65" t="str">
        <f t="shared" si="2"/>
        <v>Dominicks</v>
      </c>
      <c s="65" t="str">
        <f t="shared" si="3"/>
        <v>GroceryX</v>
      </c>
      <c s="72" t="str">
        <f>IF('[1]Leakage Tree Data'!A43&lt;&gt;"",'[1]Leakage Tree Data'!A43,"")</f>
        <v>Total US - Dominicks</v>
      </c>
      <c s="72" t="str">
        <f>IF('[1]Leakage Tree Data'!B43&lt;&gt;"",'[1]Leakage Tree Data'!B43,"")</f>
        <v>Total US - GroceryX</v>
      </c>
      <c s="72">
        <f>IF('[1]Leakage Tree Data'!C43&lt;&gt;"",'[1]Leakage Tree Data'!C43,"")</f>
        <v>121171760.292236</v>
      </c>
      <c s="72">
        <f>IF('[1]Leakage Tree Data'!D43&lt;&gt;"",'[1]Leakage Tree Data'!D43,"")</f>
      </c>
      <c s="72">
        <f>IF('[1]Leakage Tree Data'!E43&lt;&gt;"",'[1]Leakage Tree Data'!E43,"")</f>
      </c>
      <c s="72">
        <f>IF('[1]Leakage Tree Data'!F43&lt;&gt;"",'[1]Leakage Tree Data'!F43,"")</f>
      </c>
      <c s="72">
        <f>IF('[1]Leakage Tree Data'!G43&lt;&gt;"",'[1]Leakage Tree Data'!G43,"")</f>
      </c>
      <c s="72">
        <f>IF('[1]Leakage Tree Data'!H43&lt;&gt;"",'[1]Leakage Tree Data'!H43,"")</f>
        <v>61518209.9918823</v>
      </c>
      <c s="72" t="str">
        <f>IF('[1]Leakage Tree Data'!I43&lt;&gt;"",'[1]Leakage Tree Data'!I43,"")</f>
        <v>GroceryX</v>
      </c>
      <c s="72">
        <f>IF('[1]Leakage Tree Data'!J43&lt;&gt;"",'[1]Leakage Tree Data'!J43,"")</f>
      </c>
      <c s="72">
        <f>IF('[1]Leakage Tree Data'!K43&lt;&gt;"",'[1]Leakage Tree Data'!K43,"")</f>
      </c>
      <c s="72">
        <f>IF('[1]Leakage Tree Data'!L43&lt;&gt;"",'[1]Leakage Tree Data'!L43,"")</f>
      </c>
      <c s="72">
        <f>IF('[1]Leakage Tree Data'!M43&lt;&gt;"",'[1]Leakage Tree Data'!M43,"")</f>
      </c>
      <c s="72">
        <f>IF('[1]Leakage Tree Data'!N43&lt;&gt;"",'[1]Leakage Tree Data'!N43,"")</f>
      </c>
      <c s="72">
        <f>IF('[1]Leakage Tree Data'!O43&lt;&gt;"",'[1]Leakage Tree Data'!O43,"")</f>
      </c>
      <c s="72">
        <f>IF('[1]Leakage Tree Data'!P43&lt;&gt;"",'[1]Leakage Tree Data'!P43,"")</f>
      </c>
      <c s="72">
        <f>IF('[1]Leakage Tree Data'!Q43&lt;&gt;"",'[1]Leakage Tree Data'!Q43,"")</f>
      </c>
      <c s="72">
        <f>IF('[1]Leakage Tree Data'!R43&lt;&gt;"",'[1]Leakage Tree Data'!R43,"")</f>
        <v>1017625.85098267</v>
      </c>
      <c s="72">
        <f>IF('[1]Leakage Tree Data'!S43&lt;&gt;"",'[1]Leakage Tree Data'!S43,"")</f>
      </c>
      <c s="72">
        <f>IF('[1]Leakage Tree Data'!T43&lt;&gt;"",'[1]Leakage Tree Data'!T43,"")</f>
      </c>
      <c s="72">
        <f>IF('[1]Leakage Tree Data'!U43&lt;&gt;"",'[1]Leakage Tree Data'!U43,"")</f>
      </c>
      <c s="72">
        <f>IF('[1]Leakage Tree Data'!V43&lt;&gt;"",'[1]Leakage Tree Data'!V43,"")</f>
      </c>
      <c s="72">
        <f>IF('[1]Leakage Tree Data'!W43&lt;&gt;"",'[1]Leakage Tree Data'!W43,"")</f>
        <v>-1855949.2237854</v>
      </c>
      <c s="72">
        <f>IF('[1]Leakage Tree Data'!X43&lt;&gt;"",'[1]Leakage Tree Data'!X43,"")</f>
      </c>
      <c s="72">
        <f>IF('[1]Leakage Tree Data'!Y43&lt;&gt;"",'[1]Leakage Tree Data'!Y43,"")</f>
      </c>
      <c s="72">
        <f>IF('[1]Leakage Tree Data'!Z43&lt;&gt;"",'[1]Leakage Tree Data'!Z43,"")</f>
      </c>
      <c s="72">
        <f>IF('[1]Leakage Tree Data'!AA43&lt;&gt;"",'[1]Leakage Tree Data'!AA43,"")</f>
      </c>
      <c s="72">
        <f>IF('[1]Leakage Tree Data'!AB43&lt;&gt;"",'[1]Leakage Tree Data'!AB43,"")</f>
      </c>
      <c s="72">
        <f>IF('[1]Leakage Tree Data'!AC43&lt;&gt;"",'[1]Leakage Tree Data'!AC43,"")</f>
      </c>
      <c s="72">
        <f>IF('[1]Leakage Tree Data'!AD43&lt;&gt;"",'[1]Leakage Tree Data'!AD43,"")</f>
      </c>
      <c s="72">
        <f>IF('[1]Leakage Tree Data'!AE43&lt;&gt;"",'[1]Leakage Tree Data'!AE43,"")</f>
      </c>
      <c s="73">
        <f t="shared" si="4"/>
      </c>
      <c s="73">
        <f t="shared" si="5"/>
      </c>
      <c s="73">
        <f t="shared" si="6"/>
      </c>
      <c s="73">
        <f t="shared" si="7"/>
      </c>
      <c s="74">
        <f t="shared" si="8"/>
      </c>
      <c s="74">
        <f t="shared" si="9"/>
      </c>
      <c s="69" t="str">
        <f t="shared" si="0"/>
        <v>Total US - Dominicks</v>
      </c>
      <c s="69" t="str">
        <f t="shared" si="1"/>
        <v>Total US - GroceryX</v>
      </c>
      <c s="77"/>
    </row>
    <row r="145" spans="1:141" ht="15">
      <c r="A1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145,$AL$8:$AL$15,1,FALSE))=TRUE,IF(AND(CV145=CW145,CV145&lt;&gt;"",DI$111&lt;&gt;"",DK145&lt;&gt;""),IF(CW$101="Y",DK145-IF(ISERROR(VLOOKUP(CV145,$CA$113:$DK$300,37,FALSE))=TRUE,0,IF(VLOOKUP(CV145,$CA$113:$DK$300,37,FALSE)="",0,VLOOKUP(CV145,$CA$113:$DK$300,37,FALSE))),DK145-IF(AND(CW$102="Y",CV145=$CW$111),DI$111,0)),""),"")</f>
      </c>
      <c s="76">
        <f>IF(ISERROR(VLOOKUP(CV145,$AL$8:$AL$15,1,FALSE))=TRUE,IF(CB145&lt;&gt;"",IF(CB145&gt;0,IF(Z$4&lt;&gt;"",MIN(4,RANK(CB145,$CB$111:$CB$300)),RANK(CB145,$CB$111:$CB$300)),""),""),"")</f>
      </c>
      <c s="75">
        <f>IF(ISERROR(VLOOKUP(CV145,$AL$8:$AL$15,1,FALSE))=TRUE,IF(AND(ISERROR(FIND("NeighMkt",$CX$102))=FALSE,LEFT($CW$111,10)="ALL OUTLET",$CA145&lt;&gt;"",DK145&lt;&gt;""),"",IF(AND($CV145&lt;&gt;$CW145,$CW145=CD$110),$DK145,"")),"")</f>
      </c>
      <c s="76">
        <f>IF(ISERROR(VLOOKUP(CV145,$AL$8:$AL$15,1,FALSE))=TRUE,IF(CD145&lt;&gt;"",IF(CD145&gt;0,RANK(CD145,$CD$111:$CD$300),""),""),"")</f>
      </c>
      <c s="75">
        <f>IF(ISERROR(VLOOKUP(CV145,$AL$8:$AL$15,1,FALSE))=TRUE,IF(AND(ISERROR(FIND("NeighMkt",$CX$102))=FALSE,LEFT($CW$111,10)="ALL OUTLET",$CA145&lt;&gt;"",DK145&lt;&gt;""),"",IF(AND($CV145&lt;&gt;$CW145,$CW145=CF$110),$DK145,"")),"")</f>
      </c>
      <c s="76">
        <f>IF(ISERROR(VLOOKUP(CV145,$AL$8:$AL$15,1,FALSE))=TRUE,IF(CF145&lt;&gt;"",IF(CF145&gt;0,RANK(CF145,$CF$111:$CF$300),""),""),"")</f>
      </c>
      <c s="75">
        <f>IF(ISERROR(VLOOKUP(CV145,$AL$8:$AL$15,1,FALSE))=TRUE,IF(AND(ISERROR(FIND("NeighMkt",$CX$102))=FALSE,LEFT($CW$111,10)="ALL OUTLET",$CA145&lt;&gt;"",DK145&lt;&gt;""),"",IF(AND($CV145&lt;&gt;$CW145,$CW145=CH$110),$DK145,"")),"")</f>
      </c>
      <c s="76">
        <f>IF(ISERROR(VLOOKUP(CV145,$AL$8:$AL$15,1,FALSE))=TRUE,IF(CH145&lt;&gt;"",IF(CH145&gt;0,RANK(CH145,$CH$111:$CH$300),""),""),"")</f>
      </c>
      <c s="75">
        <f>IF(ISERROR(VLOOKUP(CV145,$AL$8:$AL$15,1,FALSE))=TRUE,IF(AND(ISERROR(FIND("NeighMkt",$CX$102))=FALSE,LEFT($CW$111,10)="ALL OUTLET",$CA145&lt;&gt;"",DK145&lt;&gt;""),"",IF($Z$4="",IF(AND($CV145&lt;&gt;$CW145,$CW145=CJ$110),$DK145,""),IF(AND($CV145&lt;&gt;$CW145,$CW145&lt;&gt;CD$110,$CW145&lt;&gt;CF$110,$CW145&lt;&gt;CH$110,$CW145&lt;&gt;$CV$111),$DK145,""))),"")</f>
      </c>
      <c s="76">
        <f>IF(ISERROR(VLOOKUP(CV145,$AL$8:$AL$15,1,FALSE))=TRUE,IF(CJ145&lt;&gt;"",IF(CJ145&gt;0,RANK(CJ145,$CJ$111:$CJ$300),""),""),"")</f>
      </c>
      <c s="75">
        <f>IF(ISERROR(VLOOKUP(CV145,$AL$8:$AL$15,1,FALSE))=TRUE,IF(AND(CV145=CW145,CV145&lt;&gt;"",DJ145&lt;&gt;""),IF(AND(ISERROR(FIND("NeighMkt",$CX$102))=FALSE,LEFT($CW$111,10)="ALL OUTLET"),DJ145-IF(ISERROR(VLOOKUP(CV145,$CA$113:$DK$300,36,FALSE))=TRUE,0,IF(VLOOKUP(CV145,$CA$113:$DK$300,36,FALSE)="",0,VLOOKUP(CV145,$CA$113:$DK$300,36,FALSE))),DJ145),""),"")</f>
      </c>
      <c s="76">
        <f>IF(ISERROR(VLOOKUP(CV145,$AL$8:$AL$15,1,FALSE))=TRUE,IF(CL145&lt;&gt;"",IF(CL145&gt;0,IF($Z$4&lt;&gt;"",MIN(4,RANK(CL145,$CL$111:$CL$300)),RANK(CL145,$CL$111:$CL$300)),""),""),"")</f>
      </c>
      <c s="75">
        <f>IF(ISERROR(VLOOKUP(CV145,$AL$8:$AL$15,1,FALSE))=TRUE,IF(AND(ISERROR(FIND("NeighMkt",$CX$102))=FALSE,LEFT($CW$111,10)="ALL OUTLET",$CA145&lt;&gt;"",DJ145&lt;&gt;""),"",IF(AND($CV145&lt;&gt;$CW145,$CW145=CN$110),$DJ145,"")),"")</f>
        <v>1650047.18029118</v>
      </c>
      <c s="76">
        <f>IF(ISERROR(VLOOKUP(CV145,$AL$8:$AL$15,1,FALSE))=TRUE,IF(CN145&lt;&gt;"",IF(CN145&gt;0,RANK(CN145,$CN$111:$CN$300),""),""),"")</f>
        <v>46</v>
      </c>
      <c s="75">
        <f>IF(ISERROR(VLOOKUP(CV145,$AL$8:$AL$15,1,FALSE))=TRUE,IF(AND(ISERROR(FIND("NeighMkt",$CX$102))=FALSE,LEFT($CW$111,10)="ALL OUTLET",$CA145&lt;&gt;"",DJ145&lt;&gt;""),"",IF(AND($CV145&lt;&gt;$CW145,$CW145=CP$110),$DJ145,"")),"")</f>
      </c>
      <c s="76">
        <f>IF(ISERROR(VLOOKUP(CV145,$AL$8:$AL$15,1,FALSE))=TRUE,IF(CP145&lt;&gt;"",IF(CP145&gt;0,RANK(CP145,$CP$111:$CP$300),""),""),"")</f>
      </c>
      <c s="75">
        <f>IF(ISERROR(VLOOKUP(CV145,$AL$8:$AL$15,1,FALSE))=TRUE,IF(AND(ISERROR(FIND("NeighMkt",$CX$102))=FALSE,LEFT($CW$111,10)="ALL OUTLET",$CA145&lt;&gt;"",DJ145&lt;&gt;""),"",IF(AND($CV145&lt;&gt;$CW145,$CW145=CR$110),$DJ145,"")),"")</f>
      </c>
      <c s="76">
        <f>IF(ISERROR(VLOOKUP(CV145,$AL$8:$AL$15,1,FALSE))=TRUE,IF(CR145&lt;&gt;"",IF(CR145&gt;0,RANK(CR145,$CR$111:$CR$300),""),""),"")</f>
      </c>
      <c s="75">
        <f>IF(ISERROR(VLOOKUP(CV145,$AL$8:$AL$15,1,FALSE))=TRUE,IF(AND(ISERROR(FIND("NeighMkt",$CX$102))=FALSE,LEFT($CW$111,10)="ALL OUTLET",$CA145&lt;&gt;"",DJ145&lt;&gt;""),"",IF($Z$4="",IF(AND($CV145&lt;&gt;$CW145,$CW145=CT$110),$DJ145,""),IF(AND($CV145&lt;&gt;$CW145,$CW145&lt;&gt;CN$110,$CW145&lt;&gt;CP$110,$CW145&lt;&gt;CR$110,$CW145&lt;&gt;$CV$111),$DJ145,""))),"")</f>
      </c>
      <c s="76">
        <f>IF(ISERROR(VLOOKUP(CV145,$AL$8:$AL$15,1,FALSE))=TRUE,IF(CT145&lt;&gt;"",IF(CT145&gt;0,RANK(CT145,$CT$111:$CT$300),""),""),"")</f>
      </c>
      <c s="65" t="str">
        <f t="shared" si="2"/>
        <v>Fareway</v>
      </c>
      <c s="65" t="str">
        <f t="shared" si="3"/>
        <v>GroceryX</v>
      </c>
      <c s="72" t="str">
        <f>IF('[1]Leakage Tree Data'!A44&lt;&gt;"",'[1]Leakage Tree Data'!A44,"")</f>
        <v>Total US - Fareway</v>
      </c>
      <c s="72" t="str">
        <f>IF('[1]Leakage Tree Data'!B44&lt;&gt;"",'[1]Leakage Tree Data'!B44,"")</f>
        <v>Total US - GroceryX</v>
      </c>
      <c s="72">
        <f>IF('[1]Leakage Tree Data'!C44&lt;&gt;"",'[1]Leakage Tree Data'!C44,"")</f>
        <v>121171760.292236</v>
      </c>
      <c s="72">
        <f>IF('[1]Leakage Tree Data'!D44&lt;&gt;"",'[1]Leakage Tree Data'!D44,"")</f>
        <v>1315830.93530273</v>
      </c>
      <c s="72">
        <f>IF('[1]Leakage Tree Data'!E44&lt;&gt;"",'[1]Leakage Tree Data'!E44,"")</f>
        <v>1.08592210935062</v>
      </c>
      <c s="72">
        <f>IF('[1]Leakage Tree Data'!F44&lt;&gt;"",'[1]Leakage Tree Data'!F44,"")</f>
        <v>119855929.356934</v>
      </c>
      <c s="72">
        <f>IF('[1]Leakage Tree Data'!G44&lt;&gt;"",'[1]Leakage Tree Data'!G44,"")</f>
        <v>98.9140778906494</v>
      </c>
      <c s="72">
        <f>IF('[1]Leakage Tree Data'!H44&lt;&gt;"",'[1]Leakage Tree Data'!H44,"")</f>
        <v>61518209.9918823</v>
      </c>
      <c s="72" t="str">
        <f>IF('[1]Leakage Tree Data'!I44&lt;&gt;"",'[1]Leakage Tree Data'!I44,"")</f>
        <v>GroceryX</v>
      </c>
      <c s="72">
        <f>IF('[1]Leakage Tree Data'!J44&lt;&gt;"",'[1]Leakage Tree Data'!J44,"")</f>
        <v>99.7581926901886</v>
      </c>
      <c s="72">
        <f>IF('[1]Leakage Tree Data'!K44&lt;&gt;"",'[1]Leakage Tree Data'!K44,"")</f>
        <v>148755.528625488</v>
      </c>
      <c s="72">
        <f>IF('[1]Leakage Tree Data'!L44&lt;&gt;"",'[1]Leakage Tree Data'!L44,"")</f>
      </c>
      <c s="72">
        <f>IF('[1]Leakage Tree Data'!M44&lt;&gt;"",'[1]Leakage Tree Data'!M44,"")</f>
        <v>1650047.18029118</v>
      </c>
      <c s="72">
        <f>IF('[1]Leakage Tree Data'!N44&lt;&gt;"",'[1]Leakage Tree Data'!N44,"")</f>
      </c>
      <c s="72">
        <f>IF('[1]Leakage Tree Data'!O44&lt;&gt;"",'[1]Leakage Tree Data'!O44,"")</f>
        <v>24.0991848125366</v>
      </c>
      <c s="72">
        <f>IF('[1]Leakage Tree Data'!P44&lt;&gt;"",'[1]Leakage Tree Data'!P44,"")</f>
        <v>182741.036167603</v>
      </c>
      <c s="72">
        <f>IF('[1]Leakage Tree Data'!Q44&lt;&gt;"",'[1]Leakage Tree Data'!Q44,"")</f>
      </c>
      <c s="72">
        <f>IF('[1]Leakage Tree Data'!R44&lt;&gt;"",'[1]Leakage Tree Data'!R44,"")</f>
        <v>1017625.85098267</v>
      </c>
      <c s="72">
        <f>IF('[1]Leakage Tree Data'!S44&lt;&gt;"",'[1]Leakage Tree Data'!S44,"")</f>
        <v>65315.3431091309</v>
      </c>
      <c s="72">
        <f>IF('[1]Leakage Tree Data'!T44&lt;&gt;"",'[1]Leakage Tree Data'!T44,"")</f>
        <v>0.045162589914352</v>
      </c>
      <c s="72">
        <f>IF('[1]Leakage Tree Data'!U44&lt;&gt;"",'[1]Leakage Tree Data'!U44,"")</f>
        <v>952310.507873535</v>
      </c>
      <c s="72">
        <f>IF('[1]Leakage Tree Data'!V44&lt;&gt;"",'[1]Leakage Tree Data'!V44,"")</f>
        <v>-0.0451625899143409</v>
      </c>
      <c s="72">
        <f>IF('[1]Leakage Tree Data'!W44&lt;&gt;"",'[1]Leakage Tree Data'!W44,"")</f>
        <v>-1855949.2237854</v>
      </c>
      <c s="72">
        <f>IF('[1]Leakage Tree Data'!X44&lt;&gt;"",'[1]Leakage Tree Data'!X44,"")</f>
      </c>
      <c s="72">
        <f>IF('[1]Leakage Tree Data'!Y44&lt;&gt;"",'[1]Leakage Tree Data'!Y44,"")</f>
        <v>0.0407450627105419</v>
      </c>
      <c s="72">
        <f>IF('[1]Leakage Tree Data'!Z44&lt;&gt;"",'[1]Leakage Tree Data'!Z44,"")</f>
        <v>-30309.6618041992</v>
      </c>
      <c s="72">
        <f>IF('[1]Leakage Tree Data'!AA44&lt;&gt;"",'[1]Leakage Tree Data'!AA44,"")</f>
      </c>
      <c s="72">
        <f>IF('[1]Leakage Tree Data'!AB44&lt;&gt;"",'[1]Leakage Tree Data'!AB44,"")</f>
        <v>162988.658654213</v>
      </c>
      <c s="72">
        <f>IF('[1]Leakage Tree Data'!AC44&lt;&gt;"",'[1]Leakage Tree Data'!AC44,"")</f>
      </c>
      <c s="72">
        <f>IF('[1]Leakage Tree Data'!AD44&lt;&gt;"",'[1]Leakage Tree Data'!AD44,"")</f>
        <v>-2.59548684185359</v>
      </c>
      <c s="72">
        <f>IF('[1]Leakage Tree Data'!AE44&lt;&gt;"",'[1]Leakage Tree Data'!AE44,"")</f>
      </c>
      <c s="73">
        <f t="shared" ref="EC145:EC176" si="11">IF(AND(CV145=CW145,CV145&lt;&gt;"",DJ145&lt;&gt;""),IF(AND(ISERROR(FIND("NeighMkt",$CX$102))=FALSE,LEFT($CW$111,10)="ALL OUTLET"),DJ145-IF(ISERROR(VLOOKUP(CV145,$CA$113:$DK$300,36,FALSE))=TRUE,0,IF(VLOOKUP(CV145,$CA$113:$DK$300,36,FALSE)="",0,VLOOKUP(CV145,$CA$113:$DK$300,36,FALSE))),DJ145),"")</f>
      </c>
      <c s="73">
        <f t="shared" ref="ED145:ED176" si="12">IF(AND(CV145=CW145,CV145&lt;&gt;"",DI$111&lt;&gt;"",DK145&lt;&gt;""),IF(CW$101="Y",DK145-IF(ISERROR(VLOOKUP(CV145,$CA$113:$DK$300,37,FALSE))=TRUE,0,IF(VLOOKUP(CV145,$CA$113:$DK$300,37,FALSE)="",0,VLOOKUP(CV145,$CA$113:$DK$300,37,FALSE))),DK145-IF(AND(CW$102="Y",CV145=$CW$111),DI$111,0)),"")</f>
      </c>
      <c s="73">
        <f t="shared" ref="EE145:EE176" si="13">IF(AND(CV145=CW145,CV145&lt;&gt;"",DJ145&lt;&gt;"",DY145&lt;&gt;""),IF(AND(ISERROR(FIND("NeighMkt",$CX$102))=FALSE,LEFT($CW$111,10)="ALL OUTLET"),DY145-IF(ISERROR(VLOOKUP(CV145,$CA$113:$DZ$300,51,FALSE))=TRUE,0,IF(VLOOKUP(CV145,$CA$113:$DZ$300,51,FALSE)="",0,VLOOKUP(CV145,$CA$113:$DZ$300,51,FALSE))),DY145),"")</f>
      </c>
      <c s="73">
        <f t="shared" ref="EF145:EF176" si="14">IF(AND(CV145=CW145,CV145&lt;&gt;"",DI$111&lt;&gt;"",DK145&lt;&gt;"",DZ145&lt;&gt;""),IF(CW$101="Y",DZ145-IF(ISERROR(VLOOKUP(CV145,$CA$113:$DZ$300,52,FALSE))=TRUE,0,IF(VLOOKUP(CV145,$CA$113:$DZ$300,52,FALSE)="",0,VLOOKUP(CV145,$CA$113:$DZ$300,52,FALSE))),DZ145-IF(AND(CW$102="Y",CV145=$CW$111),DX$111,0)),"")</f>
      </c>
      <c s="74">
        <f t="shared" ref="EG145:EG176" si="15">IF(AND(CV145=CW145,CV145&lt;&gt;"",DJ145&lt;&gt;"",EE145&lt;&gt;""),EC145/$DJ$112-(EC145-EE145)/($DJ$112-$DY$112),"")</f>
      </c>
      <c s="74">
        <f t="shared" ref="EH145:EH176" si="16">IF(AND(CV145=CW145,CV145&lt;&gt;"",DI$111&lt;&gt;"",DK145&lt;&gt;"",EF145&lt;&gt;""),ED145/$DI$112-(ED145-EF145)/($DI$112-$DX$112),"")</f>
      </c>
      <c s="69" t="str">
        <f t="shared" si="0"/>
        <v>Total US - Fareway</v>
      </c>
      <c s="69" t="str">
        <f t="shared" si="1"/>
        <v>Total US - GroceryX</v>
      </c>
      <c s="77"/>
    </row>
    <row r="146" spans="1:141" ht="15">
      <c r="A1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146,$AL$8:$AL$15,1,FALSE))=TRUE,IF(AND(CV146=CW146,CV146&lt;&gt;"",DI$111&lt;&gt;"",DK146&lt;&gt;""),IF(CW$101="Y",DK146-IF(ISERROR(VLOOKUP(CV146,$CA$113:$DK$300,37,FALSE))=TRUE,0,IF(VLOOKUP(CV146,$CA$113:$DK$300,37,FALSE)="",0,VLOOKUP(CV146,$CA$113:$DK$300,37,FALSE))),DK146-IF(AND(CW$102="Y",CV146=$CW$111),DI$111,0)),""),"")</f>
      </c>
      <c s="76">
        <f>IF(ISERROR(VLOOKUP(CV146,$AL$8:$AL$15,1,FALSE))=TRUE,IF(CB146&lt;&gt;"",IF(CB146&gt;0,IF(Z$4&lt;&gt;"",MIN(4,RANK(CB146,$CB$111:$CB$300)),RANK(CB146,$CB$111:$CB$300)),""),""),"")</f>
      </c>
      <c s="75">
        <f>IF(ISERROR(VLOOKUP(CV146,$AL$8:$AL$15,1,FALSE))=TRUE,IF(AND(ISERROR(FIND("NeighMkt",$CX$102))=FALSE,LEFT($CW$111,10)="ALL OUTLET",$CA146&lt;&gt;"",DK146&lt;&gt;""),"",IF(AND($CV146&lt;&gt;$CW146,$CW146=CD$110),$DK146,"")),"")</f>
        <v>3350984.56188965</v>
      </c>
      <c s="76">
        <f>IF(ISERROR(VLOOKUP(CV146,$AL$8:$AL$15,1,FALSE))=TRUE,IF(CD146&lt;&gt;"",IF(CD146&gt;0,RANK(CD146,$CD$111:$CD$300),""),""),"")</f>
        <v>15</v>
      </c>
      <c s="75">
        <f>IF(ISERROR(VLOOKUP(CV146,$AL$8:$AL$15,1,FALSE))=TRUE,IF(AND(ISERROR(FIND("NeighMkt",$CX$102))=FALSE,LEFT($CW$111,10)="ALL OUTLET",$CA146&lt;&gt;"",DK146&lt;&gt;""),"",IF(AND($CV146&lt;&gt;$CW146,$CW146=CF$110),$DK146,"")),"")</f>
      </c>
      <c s="76">
        <f>IF(ISERROR(VLOOKUP(CV146,$AL$8:$AL$15,1,FALSE))=TRUE,IF(CF146&lt;&gt;"",IF(CF146&gt;0,RANK(CF146,$CF$111:$CF$300),""),""),"")</f>
      </c>
      <c s="75">
        <f>IF(ISERROR(VLOOKUP(CV146,$AL$8:$AL$15,1,FALSE))=TRUE,IF(AND(ISERROR(FIND("NeighMkt",$CX$102))=FALSE,LEFT($CW$111,10)="ALL OUTLET",$CA146&lt;&gt;"",DK146&lt;&gt;""),"",IF(AND($CV146&lt;&gt;$CW146,$CW146=CH$110),$DK146,"")),"")</f>
      </c>
      <c s="76">
        <f>IF(ISERROR(VLOOKUP(CV146,$AL$8:$AL$15,1,FALSE))=TRUE,IF(CH146&lt;&gt;"",IF(CH146&gt;0,RANK(CH146,$CH$111:$CH$300),""),""),"")</f>
      </c>
      <c s="75">
        <f>IF(ISERROR(VLOOKUP(CV146,$AL$8:$AL$15,1,FALSE))=TRUE,IF(AND(ISERROR(FIND("NeighMkt",$CX$102))=FALSE,LEFT($CW$111,10)="ALL OUTLET",$CA146&lt;&gt;"",DK146&lt;&gt;""),"",IF($Z$4="",IF(AND($CV146&lt;&gt;$CW146,$CW146=CJ$110),$DK146,""),IF(AND($CV146&lt;&gt;$CW146,$CW146&lt;&gt;CD$110,$CW146&lt;&gt;CF$110,$CW146&lt;&gt;CH$110,$CW146&lt;&gt;$CV$111),$DK146,""))),"")</f>
      </c>
      <c s="76">
        <f>IF(ISERROR(VLOOKUP(CV146,$AL$8:$AL$15,1,FALSE))=TRUE,IF(CJ146&lt;&gt;"",IF(CJ146&gt;0,RANK(CJ146,$CJ$111:$CJ$300),""),""),"")</f>
      </c>
      <c s="75">
        <f>IF(ISERROR(VLOOKUP(CV146,$AL$8:$AL$15,1,FALSE))=TRUE,IF(AND(CV146=CW146,CV146&lt;&gt;"",DJ146&lt;&gt;""),IF(AND(ISERROR(FIND("NeighMkt",$CX$102))=FALSE,LEFT($CW$111,10)="ALL OUTLET"),DJ146-IF(ISERROR(VLOOKUP(CV146,$CA$113:$DK$300,36,FALSE))=TRUE,0,IF(VLOOKUP(CV146,$CA$113:$DK$300,36,FALSE)="",0,VLOOKUP(CV146,$CA$113:$DK$300,36,FALSE))),DJ146),""),"")</f>
      </c>
      <c s="76">
        <f>IF(ISERROR(VLOOKUP(CV146,$AL$8:$AL$15,1,FALSE))=TRUE,IF(CL146&lt;&gt;"",IF(CL146&gt;0,IF($Z$4&lt;&gt;"",MIN(4,RANK(CL146,$CL$111:$CL$300)),RANK(CL146,$CL$111:$CL$300)),""),""),"")</f>
      </c>
      <c s="75">
        <f>IF(ISERROR(VLOOKUP(CV146,$AL$8:$AL$15,1,FALSE))=TRUE,IF(AND(ISERROR(FIND("NeighMkt",$CX$102))=FALSE,LEFT($CW$111,10)="ALL OUTLET",$CA146&lt;&gt;"",DJ146&lt;&gt;""),"",IF(AND($CV146&lt;&gt;$CW146,$CW146=CN$110),$DJ146,"")),"")</f>
        <v>10055136.586853</v>
      </c>
      <c s="76">
        <f>IF(ISERROR(VLOOKUP(CV146,$AL$8:$AL$15,1,FALSE))=TRUE,IF(CN146&lt;&gt;"",IF(CN146&gt;0,RANK(CN146,$CN$111:$CN$300),""),""),"")</f>
        <v>10</v>
      </c>
      <c s="75">
        <f>IF(ISERROR(VLOOKUP(CV146,$AL$8:$AL$15,1,FALSE))=TRUE,IF(AND(ISERROR(FIND("NeighMkt",$CX$102))=FALSE,LEFT($CW$111,10)="ALL OUTLET",$CA146&lt;&gt;"",DJ146&lt;&gt;""),"",IF(AND($CV146&lt;&gt;$CW146,$CW146=CP$110),$DJ146,"")),"")</f>
      </c>
      <c s="76">
        <f>IF(ISERROR(VLOOKUP(CV146,$AL$8:$AL$15,1,FALSE))=TRUE,IF(CP146&lt;&gt;"",IF(CP146&gt;0,RANK(CP146,$CP$111:$CP$300),""),""),"")</f>
      </c>
      <c s="75">
        <f>IF(ISERROR(VLOOKUP(CV146,$AL$8:$AL$15,1,FALSE))=TRUE,IF(AND(ISERROR(FIND("NeighMkt",$CX$102))=FALSE,LEFT($CW$111,10)="ALL OUTLET",$CA146&lt;&gt;"",DJ146&lt;&gt;""),"",IF(AND($CV146&lt;&gt;$CW146,$CW146=CR$110),$DJ146,"")),"")</f>
      </c>
      <c s="76">
        <f>IF(ISERROR(VLOOKUP(CV146,$AL$8:$AL$15,1,FALSE))=TRUE,IF(CR146&lt;&gt;"",IF(CR146&gt;0,RANK(CR146,$CR$111:$CR$300),""),""),"")</f>
      </c>
      <c s="75">
        <f>IF(ISERROR(VLOOKUP(CV146,$AL$8:$AL$15,1,FALSE))=TRUE,IF(AND(ISERROR(FIND("NeighMkt",$CX$102))=FALSE,LEFT($CW$111,10)="ALL OUTLET",$CA146&lt;&gt;"",DJ146&lt;&gt;""),"",IF($Z$4="",IF(AND($CV146&lt;&gt;$CW146,$CW146=CT$110),$DJ146,""),IF(AND($CV146&lt;&gt;$CW146,$CW146&lt;&gt;CN$110,$CW146&lt;&gt;CP$110,$CW146&lt;&gt;CR$110,$CW146&lt;&gt;$CV$111),$DJ146,""))),"")</f>
      </c>
      <c s="76">
        <f>IF(ISERROR(VLOOKUP(CV146,$AL$8:$AL$15,1,FALSE))=TRUE,IF(CT146&lt;&gt;"",IF(CT146&gt;0,RANK(CT146,$CT$111:$CT$300),""),""),"")</f>
      </c>
      <c s="65" t="str">
        <f t="shared" si="2"/>
        <v>Food 4 Less</v>
      </c>
      <c s="65" t="str">
        <f t="shared" si="3"/>
        <v>GroceryX</v>
      </c>
      <c s="72" t="str">
        <f>IF('[1]Leakage Tree Data'!A45&lt;&gt;"",'[1]Leakage Tree Data'!A45,"")</f>
        <v>Total US - Food 4 Less</v>
      </c>
      <c s="72" t="str">
        <f>IF('[1]Leakage Tree Data'!B45&lt;&gt;"",'[1]Leakage Tree Data'!B45,"")</f>
        <v>Total US - GroceryX</v>
      </c>
      <c s="72">
        <f>IF('[1]Leakage Tree Data'!C45&lt;&gt;"",'[1]Leakage Tree Data'!C45,"")</f>
        <v>121171760.292236</v>
      </c>
      <c s="72">
        <f>IF('[1]Leakage Tree Data'!D45&lt;&gt;"",'[1]Leakage Tree Data'!D45,"")</f>
        <v>2915807.03497314</v>
      </c>
      <c s="72">
        <f>IF('[1]Leakage Tree Data'!E45&lt;&gt;"",'[1]Leakage Tree Data'!E45,"")</f>
        <v>2.40634206183102</v>
      </c>
      <c s="72">
        <f>IF('[1]Leakage Tree Data'!F45&lt;&gt;"",'[1]Leakage Tree Data'!F45,"")</f>
        <v>118255953.257263</v>
      </c>
      <c s="72">
        <f>IF('[1]Leakage Tree Data'!G45&lt;&gt;"",'[1]Leakage Tree Data'!G45,"")</f>
        <v>97.593657938169</v>
      </c>
      <c s="72">
        <f>IF('[1]Leakage Tree Data'!H45&lt;&gt;"",'[1]Leakage Tree Data'!H45,"")</f>
        <v>61518209.9918823</v>
      </c>
      <c s="72" t="str">
        <f>IF('[1]Leakage Tree Data'!I45&lt;&gt;"",'[1]Leakage Tree Data'!I45,"")</f>
        <v>GroceryX</v>
      </c>
      <c s="72">
        <f>IF('[1]Leakage Tree Data'!J45&lt;&gt;"",'[1]Leakage Tree Data'!J45,"")</f>
        <v>99.215706301499</v>
      </c>
      <c s="72">
        <f>IF('[1]Leakage Tree Data'!K45&lt;&gt;"",'[1]Leakage Tree Data'!K45,"")</f>
        <v>482483.444396973</v>
      </c>
      <c s="72">
        <f>IF('[1]Leakage Tree Data'!L45&lt;&gt;"",'[1]Leakage Tree Data'!L45,"")</f>
        <v>3350984.56188965</v>
      </c>
      <c s="72">
        <f>IF('[1]Leakage Tree Data'!M45&lt;&gt;"",'[1]Leakage Tree Data'!M45,"")</f>
        <v>10055136.586853</v>
      </c>
      <c s="72">
        <f>IF('[1]Leakage Tree Data'!N45&lt;&gt;"",'[1]Leakage Tree Data'!N45,"")</f>
        <v>3350984.56188965</v>
      </c>
      <c s="72">
        <f>IF('[1]Leakage Tree Data'!O45&lt;&gt;"",'[1]Leakage Tree Data'!O45,"")</f>
        <v>26.7313165911739</v>
      </c>
      <c s="72">
        <f>IF('[1]Leakage Tree Data'!P45&lt;&gt;"",'[1]Leakage Tree Data'!P45,"")</f>
        <v>605066.562019857</v>
      </c>
      <c s="72">
        <f>IF('[1]Leakage Tree Data'!Q45&lt;&gt;"",'[1]Leakage Tree Data'!Q45,"")</f>
      </c>
      <c s="72">
        <f>IF('[1]Leakage Tree Data'!R45&lt;&gt;"",'[1]Leakage Tree Data'!R45,"")</f>
        <v>1017625.85098267</v>
      </c>
      <c s="72">
        <f>IF('[1]Leakage Tree Data'!S45&lt;&gt;"",'[1]Leakage Tree Data'!S45,"")</f>
        <v>-434644.099243164</v>
      </c>
      <c s="72">
        <f>IF('[1]Leakage Tree Data'!T45&lt;&gt;"",'[1]Leakage Tree Data'!T45,"")</f>
        <v>-0.382118901078603</v>
      </c>
      <c s="72">
        <f>IF('[1]Leakage Tree Data'!U45&lt;&gt;"",'[1]Leakage Tree Data'!U45,"")</f>
        <v>1452269.95022583</v>
      </c>
      <c s="72">
        <f>IF('[1]Leakage Tree Data'!V45&lt;&gt;"",'[1]Leakage Tree Data'!V45,"")</f>
        <v>0.382118901078599</v>
      </c>
      <c s="72">
        <f>IF('[1]Leakage Tree Data'!W45&lt;&gt;"",'[1]Leakage Tree Data'!W45,"")</f>
        <v>-1855949.2237854</v>
      </c>
      <c s="72">
        <f>IF('[1]Leakage Tree Data'!X45&lt;&gt;"",'[1]Leakage Tree Data'!X45,"")</f>
      </c>
      <c s="72">
        <f>IF('[1]Leakage Tree Data'!Y45&lt;&gt;"",'[1]Leakage Tree Data'!Y45,"")</f>
        <v>0.199205531715009</v>
      </c>
      <c s="72">
        <f>IF('[1]Leakage Tree Data'!Z45&lt;&gt;"",'[1]Leakage Tree Data'!Z45,"")</f>
        <v>-140800.92364502</v>
      </c>
      <c s="72">
        <f>IF('[1]Leakage Tree Data'!AA45&lt;&gt;"",'[1]Leakage Tree Data'!AA45,"")</f>
        <v>-2856218.38720703</v>
      </c>
      <c s="72">
        <f>IF('[1]Leakage Tree Data'!AB45&lt;&gt;"",'[1]Leakage Tree Data'!AB45,"")</f>
        <v>-1635935.68478394</v>
      </c>
      <c s="72">
        <f>IF('[1]Leakage Tree Data'!AC45&lt;&gt;"",'[1]Leakage Tree Data'!AC45,"")</f>
        <v>-2856218.38720703</v>
      </c>
      <c s="72">
        <f>IF('[1]Leakage Tree Data'!AD45&lt;&gt;"",'[1]Leakage Tree Data'!AD45,"")</f>
        <v>-3.86273452209761</v>
      </c>
      <c s="72">
        <f>IF('[1]Leakage Tree Data'!AE45&lt;&gt;"",'[1]Leakage Tree Data'!AE45,"")</f>
      </c>
      <c s="73">
        <f t="shared" si="11"/>
      </c>
      <c s="73">
        <f t="shared" si="12"/>
      </c>
      <c s="73">
        <f t="shared" si="13"/>
      </c>
      <c s="73">
        <f t="shared" si="14"/>
      </c>
      <c s="74">
        <f t="shared" si="15"/>
      </c>
      <c s="74">
        <f t="shared" si="16"/>
      </c>
      <c s="69" t="str">
        <f t="shared" si="0"/>
        <v>Total US - Food 4 Less</v>
      </c>
      <c s="69" t="str">
        <f t="shared" si="1"/>
        <v>Total US - GroceryX</v>
      </c>
      <c s="77"/>
    </row>
    <row r="147" spans="1:141" ht="15">
      <c r="A1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147,$AL$8:$AL$15,1,FALSE))=TRUE,IF(AND(CV147=CW147,CV147&lt;&gt;"",DI$111&lt;&gt;"",DK147&lt;&gt;""),IF(CW$101="Y",DK147-IF(ISERROR(VLOOKUP(CV147,$CA$113:$DK$300,37,FALSE))=TRUE,0,IF(VLOOKUP(CV147,$CA$113:$DK$300,37,FALSE)="",0,VLOOKUP(CV147,$CA$113:$DK$300,37,FALSE))),DK147-IF(AND(CW$102="Y",CV147=$CW$111),DI$111,0)),""),"")</f>
      </c>
      <c s="76">
        <f>IF(ISERROR(VLOOKUP(CV147,$AL$8:$AL$15,1,FALSE))=TRUE,IF(CB147&lt;&gt;"",IF(CB147&gt;0,IF(Z$4&lt;&gt;"",MIN(4,RANK(CB147,$CB$111:$CB$300)),RANK(CB147,$CB$111:$CB$300)),""),""),"")</f>
      </c>
      <c s="75">
        <f>IF(ISERROR(VLOOKUP(CV147,$AL$8:$AL$15,1,FALSE))=TRUE,IF(AND(ISERROR(FIND("NeighMkt",$CX$102))=FALSE,LEFT($CW$111,10)="ALL OUTLET",$CA147&lt;&gt;"",DK147&lt;&gt;""),"",IF(AND($CV147&lt;&gt;$CW147,$CW147=CD$110),$DK147,"")),"")</f>
        <v>3779971.80615234</v>
      </c>
      <c s="76">
        <f>IF(ISERROR(VLOOKUP(CV147,$AL$8:$AL$15,1,FALSE))=TRUE,IF(CD147&lt;&gt;"",IF(CD147&gt;0,RANK(CD147,$CD$111:$CD$300),""),""),"")</f>
        <v>10</v>
      </c>
      <c s="75">
        <f>IF(ISERROR(VLOOKUP(CV147,$AL$8:$AL$15,1,FALSE))=TRUE,IF(AND(ISERROR(FIND("NeighMkt",$CX$102))=FALSE,LEFT($CW$111,10)="ALL OUTLET",$CA147&lt;&gt;"",DK147&lt;&gt;""),"",IF(AND($CV147&lt;&gt;$CW147,$CW147=CF$110),$DK147,"")),"")</f>
      </c>
      <c s="76">
        <f>IF(ISERROR(VLOOKUP(CV147,$AL$8:$AL$15,1,FALSE))=TRUE,IF(CF147&lt;&gt;"",IF(CF147&gt;0,RANK(CF147,$CF$111:$CF$300),""),""),"")</f>
      </c>
      <c s="75">
        <f>IF(ISERROR(VLOOKUP(CV147,$AL$8:$AL$15,1,FALSE))=TRUE,IF(AND(ISERROR(FIND("NeighMkt",$CX$102))=FALSE,LEFT($CW$111,10)="ALL OUTLET",$CA147&lt;&gt;"",DK147&lt;&gt;""),"",IF(AND($CV147&lt;&gt;$CW147,$CW147=CH$110),$DK147,"")),"")</f>
      </c>
      <c s="76">
        <f>IF(ISERROR(VLOOKUP(CV147,$AL$8:$AL$15,1,FALSE))=TRUE,IF(CH147&lt;&gt;"",IF(CH147&gt;0,RANK(CH147,$CH$111:$CH$300),""),""),"")</f>
      </c>
      <c s="75">
        <f>IF(ISERROR(VLOOKUP(CV147,$AL$8:$AL$15,1,FALSE))=TRUE,IF(AND(ISERROR(FIND("NeighMkt",$CX$102))=FALSE,LEFT($CW$111,10)="ALL OUTLET",$CA147&lt;&gt;"",DK147&lt;&gt;""),"",IF($Z$4="",IF(AND($CV147&lt;&gt;$CW147,$CW147=CJ$110),$DK147,""),IF(AND($CV147&lt;&gt;$CW147,$CW147&lt;&gt;CD$110,$CW147&lt;&gt;CF$110,$CW147&lt;&gt;CH$110,$CW147&lt;&gt;$CV$111),$DK147,""))),"")</f>
      </c>
      <c s="76">
        <f>IF(ISERROR(VLOOKUP(CV147,$AL$8:$AL$15,1,FALSE))=TRUE,IF(CJ147&lt;&gt;"",IF(CJ147&gt;0,RANK(CJ147,$CJ$111:$CJ$300),""),""),"")</f>
      </c>
      <c s="75">
        <f>IF(ISERROR(VLOOKUP(CV147,$AL$8:$AL$15,1,FALSE))=TRUE,IF(AND(CV147=CW147,CV147&lt;&gt;"",DJ147&lt;&gt;""),IF(AND(ISERROR(FIND("NeighMkt",$CX$102))=FALSE,LEFT($CW$111,10)="ALL OUTLET"),DJ147-IF(ISERROR(VLOOKUP(CV147,$CA$113:$DK$300,36,FALSE))=TRUE,0,IF(VLOOKUP(CV147,$CA$113:$DK$300,36,FALSE)="",0,VLOOKUP(CV147,$CA$113:$DK$300,36,FALSE))),DJ147),""),"")</f>
      </c>
      <c s="76">
        <f>IF(ISERROR(VLOOKUP(CV147,$AL$8:$AL$15,1,FALSE))=TRUE,IF(CL147&lt;&gt;"",IF(CL147&gt;0,IF($Z$4&lt;&gt;"",MIN(4,RANK(CL147,$CL$111:$CL$300)),RANK(CL147,$CL$111:$CL$300)),""),""),"")</f>
      </c>
      <c s="75">
        <f>IF(ISERROR(VLOOKUP(CV147,$AL$8:$AL$15,1,FALSE))=TRUE,IF(AND(ISERROR(FIND("NeighMkt",$CX$102))=FALSE,LEFT($CW$111,10)="ALL OUTLET",$CA147&lt;&gt;"",DJ147&lt;&gt;""),"",IF(AND($CV147&lt;&gt;$CW147,$CW147=CN$110),$DJ147,"")),"")</f>
        <v>12003276.0894623</v>
      </c>
      <c s="76">
        <f>IF(ISERROR(VLOOKUP(CV147,$AL$8:$AL$15,1,FALSE))=TRUE,IF(CN147&lt;&gt;"",IF(CN147&gt;0,RANK(CN147,$CN$111:$CN$300),""),""),"")</f>
        <v>9</v>
      </c>
      <c s="75">
        <f>IF(ISERROR(VLOOKUP(CV147,$AL$8:$AL$15,1,FALSE))=TRUE,IF(AND(ISERROR(FIND("NeighMkt",$CX$102))=FALSE,LEFT($CW$111,10)="ALL OUTLET",$CA147&lt;&gt;"",DJ147&lt;&gt;""),"",IF(AND($CV147&lt;&gt;$CW147,$CW147=CP$110),$DJ147,"")),"")</f>
      </c>
      <c s="76">
        <f>IF(ISERROR(VLOOKUP(CV147,$AL$8:$AL$15,1,FALSE))=TRUE,IF(CP147&lt;&gt;"",IF(CP147&gt;0,RANK(CP147,$CP$111:$CP$300),""),""),"")</f>
      </c>
      <c s="75">
        <f>IF(ISERROR(VLOOKUP(CV147,$AL$8:$AL$15,1,FALSE))=TRUE,IF(AND(ISERROR(FIND("NeighMkt",$CX$102))=FALSE,LEFT($CW$111,10)="ALL OUTLET",$CA147&lt;&gt;"",DJ147&lt;&gt;""),"",IF(AND($CV147&lt;&gt;$CW147,$CW147=CR$110),$DJ147,"")),"")</f>
      </c>
      <c s="76">
        <f>IF(ISERROR(VLOOKUP(CV147,$AL$8:$AL$15,1,FALSE))=TRUE,IF(CR147&lt;&gt;"",IF(CR147&gt;0,RANK(CR147,$CR$111:$CR$300),""),""),"")</f>
      </c>
      <c s="75">
        <f>IF(ISERROR(VLOOKUP(CV147,$AL$8:$AL$15,1,FALSE))=TRUE,IF(AND(ISERROR(FIND("NeighMkt",$CX$102))=FALSE,LEFT($CW$111,10)="ALL OUTLET",$CA147&lt;&gt;"",DJ147&lt;&gt;""),"",IF($Z$4="",IF(AND($CV147&lt;&gt;$CW147,$CW147=CT$110),$DJ147,""),IF(AND($CV147&lt;&gt;$CW147,$CW147&lt;&gt;CN$110,$CW147&lt;&gt;CP$110,$CW147&lt;&gt;CR$110,$CW147&lt;&gt;$CV$111),$DJ147,""))),"")</f>
      </c>
      <c s="76">
        <f>IF(ISERROR(VLOOKUP(CV147,$AL$8:$AL$15,1,FALSE))=TRUE,IF(CT147&lt;&gt;"",IF(CT147&gt;0,RANK(CT147,$CT$111:$CT$300),""),""),"")</f>
      </c>
      <c s="65" t="str">
        <f t="shared" si="2"/>
        <v>Food Lion</v>
      </c>
      <c s="65" t="str">
        <f t="shared" si="3"/>
        <v>GroceryX</v>
      </c>
      <c s="72" t="str">
        <f>IF('[1]Leakage Tree Data'!A46&lt;&gt;"",'[1]Leakage Tree Data'!A46,"")</f>
        <v>Total US - Food Lion</v>
      </c>
      <c s="72" t="str">
        <f>IF('[1]Leakage Tree Data'!B46&lt;&gt;"",'[1]Leakage Tree Data'!B46,"")</f>
        <v>Total US - GroceryX</v>
      </c>
      <c s="72">
        <f>IF('[1]Leakage Tree Data'!C46&lt;&gt;"",'[1]Leakage Tree Data'!C46,"")</f>
        <v>121171760.292236</v>
      </c>
      <c s="72">
        <f>IF('[1]Leakage Tree Data'!D46&lt;&gt;"",'[1]Leakage Tree Data'!D46,"")</f>
        <v>8116589.36547852</v>
      </c>
      <c s="72">
        <f>IF('[1]Leakage Tree Data'!E46&lt;&gt;"",'[1]Leakage Tree Data'!E46,"")</f>
        <v>6.69841664914606</v>
      </c>
      <c s="72">
        <f>IF('[1]Leakage Tree Data'!F46&lt;&gt;"",'[1]Leakage Tree Data'!F46,"")</f>
        <v>113055170.926758</v>
      </c>
      <c s="72">
        <f>IF('[1]Leakage Tree Data'!G46&lt;&gt;"",'[1]Leakage Tree Data'!G46,"")</f>
        <v>93.3015833508539</v>
      </c>
      <c s="72">
        <f>IF('[1]Leakage Tree Data'!H46&lt;&gt;"",'[1]Leakage Tree Data'!H46,"")</f>
        <v>61518209.9918823</v>
      </c>
      <c s="72" t="str">
        <f>IF('[1]Leakage Tree Data'!I46&lt;&gt;"",'[1]Leakage Tree Data'!I46,"")</f>
        <v>GroceryX</v>
      </c>
      <c s="72">
        <f>IF('[1]Leakage Tree Data'!J46&lt;&gt;"",'[1]Leakage Tree Data'!J46,"")</f>
        <v>98.2396012584932</v>
      </c>
      <c s="72">
        <f>IF('[1]Leakage Tree Data'!K46&lt;&gt;"",'[1]Leakage Tree Data'!K46,"")</f>
        <v>1082965.79449463</v>
      </c>
      <c s="72">
        <f>IF('[1]Leakage Tree Data'!L46&lt;&gt;"",'[1]Leakage Tree Data'!L46,"")</f>
        <v>3779971.80615234</v>
      </c>
      <c s="72">
        <f>IF('[1]Leakage Tree Data'!M46&lt;&gt;"",'[1]Leakage Tree Data'!M46,"")</f>
        <v>12003276.0894623</v>
      </c>
      <c s="72">
        <f>IF('[1]Leakage Tree Data'!N46&lt;&gt;"",'[1]Leakage Tree Data'!N46,"")</f>
        <v>3779971.80615234</v>
      </c>
      <c s="72">
        <f>IF('[1]Leakage Tree Data'!O46&lt;&gt;"",'[1]Leakage Tree Data'!O46,"")</f>
        <v>29.0861392168674</v>
      </c>
      <c s="72">
        <f>IF('[1]Leakage Tree Data'!P46&lt;&gt;"",'[1]Leakage Tree Data'!P46,"")</f>
        <v>1484176.03776319</v>
      </c>
      <c s="72">
        <f>IF('[1]Leakage Tree Data'!Q46&lt;&gt;"",'[1]Leakage Tree Data'!Q46,"")</f>
      </c>
      <c s="72">
        <f>IF('[1]Leakage Tree Data'!R46&lt;&gt;"",'[1]Leakage Tree Data'!R46,"")</f>
        <v>1017625.85098267</v>
      </c>
      <c s="72">
        <f>IF('[1]Leakage Tree Data'!S46&lt;&gt;"",'[1]Leakage Tree Data'!S46,"")</f>
        <v>96923.1474609375</v>
      </c>
      <c s="72">
        <f>IF('[1]Leakage Tree Data'!T46&lt;&gt;"",'[1]Leakage Tree Data'!T46,"")</f>
        <v>0.02393453056479</v>
      </c>
      <c s="72">
        <f>IF('[1]Leakage Tree Data'!U46&lt;&gt;"",'[1]Leakage Tree Data'!U46,"")</f>
        <v>920702.703521729</v>
      </c>
      <c s="72">
        <f>IF('[1]Leakage Tree Data'!V46&lt;&gt;"",'[1]Leakage Tree Data'!V46,"")</f>
        <v>-0.0239345305648015</v>
      </c>
      <c s="72">
        <f>IF('[1]Leakage Tree Data'!W46&lt;&gt;"",'[1]Leakage Tree Data'!W46,"")</f>
        <v>-1855949.2237854</v>
      </c>
      <c s="72">
        <f>IF('[1]Leakage Tree Data'!X46&lt;&gt;"",'[1]Leakage Tree Data'!X46,"")</f>
      </c>
      <c s="72">
        <f>IF('[1]Leakage Tree Data'!Y46&lt;&gt;"",'[1]Leakage Tree Data'!Y46,"")</f>
        <v>0.00896872833261853</v>
      </c>
      <c s="72">
        <f>IF('[1]Leakage Tree Data'!Z46&lt;&gt;"",'[1]Leakage Tree Data'!Z46,"")</f>
        <v>-38355.9629516602</v>
      </c>
      <c s="72">
        <f>IF('[1]Leakage Tree Data'!AA46&lt;&gt;"",'[1]Leakage Tree Data'!AA46,"")</f>
        <v>-655115.547988892</v>
      </c>
      <c s="72">
        <f>IF('[1]Leakage Tree Data'!AB46&lt;&gt;"",'[1]Leakage Tree Data'!AB46,"")</f>
        <v>269387.52545166</v>
      </c>
      <c s="72">
        <f>IF('[1]Leakage Tree Data'!AC46&lt;&gt;"",'[1]Leakage Tree Data'!AC46,"")</f>
        <v>-655115.547988892</v>
      </c>
      <c s="72">
        <f>IF('[1]Leakage Tree Data'!AD46&lt;&gt;"",'[1]Leakage Tree Data'!AD46,"")</f>
        <v>-0.705364359430021</v>
      </c>
      <c s="72">
        <f>IF('[1]Leakage Tree Data'!AE46&lt;&gt;"",'[1]Leakage Tree Data'!AE46,"")</f>
      </c>
      <c s="73">
        <f t="shared" si="11"/>
      </c>
      <c s="73">
        <f t="shared" si="12"/>
      </c>
      <c s="73">
        <f t="shared" si="13"/>
      </c>
      <c s="73">
        <f t="shared" si="14"/>
      </c>
      <c s="74">
        <f t="shared" si="15"/>
      </c>
      <c s="74">
        <f t="shared" si="16"/>
      </c>
      <c s="69" t="str">
        <f t="shared" si="0"/>
        <v>Total US - Food Lion</v>
      </c>
      <c s="69" t="str">
        <f t="shared" si="1"/>
        <v>Total US - GroceryX</v>
      </c>
      <c s="77"/>
    </row>
    <row r="148" spans="1:141" ht="15">
      <c r="A1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148,$AL$8:$AL$15,1,FALSE))=TRUE,IF(AND(CV148=CW148,CV148&lt;&gt;"",DI$111&lt;&gt;"",DK148&lt;&gt;""),IF(CW$101="Y",DK148-IF(ISERROR(VLOOKUP(CV148,$CA$113:$DK$300,37,FALSE))=TRUE,0,IF(VLOOKUP(CV148,$CA$113:$DK$300,37,FALSE)="",0,VLOOKUP(CV148,$CA$113:$DK$300,37,FALSE))),DK148-IF(AND(CW$102="Y",CV148=$CW$111),DI$111,0)),""),"")</f>
      </c>
      <c s="76">
        <f>IF(ISERROR(VLOOKUP(CV148,$AL$8:$AL$15,1,FALSE))=TRUE,IF(CB148&lt;&gt;"",IF(CB148&gt;0,IF(Z$4&lt;&gt;"",MIN(4,RANK(CB148,$CB$111:$CB$300)),RANK(CB148,$CB$111:$CB$300)),""),""),"")</f>
      </c>
      <c s="75">
        <f>IF(ISERROR(VLOOKUP(CV148,$AL$8:$AL$15,1,FALSE))=TRUE,IF(AND(ISERROR(FIND("NeighMkt",$CX$102))=FALSE,LEFT($CW$111,10)="ALL OUTLET",$CA148&lt;&gt;"",DK148&lt;&gt;""),"",IF(AND($CV148&lt;&gt;$CW148,$CW148=CD$110),$DK148,"")),"")</f>
        <v>1573029.33479309</v>
      </c>
      <c s="76">
        <f>IF(ISERROR(VLOOKUP(CV148,$AL$8:$AL$15,1,FALSE))=TRUE,IF(CD148&lt;&gt;"",IF(CD148&gt;0,RANK(CD148,$CD$111:$CD$300),""),""),"")</f>
        <v>29</v>
      </c>
      <c s="75">
        <f>IF(ISERROR(VLOOKUP(CV148,$AL$8:$AL$15,1,FALSE))=TRUE,IF(AND(ISERROR(FIND("NeighMkt",$CX$102))=FALSE,LEFT($CW$111,10)="ALL OUTLET",$CA148&lt;&gt;"",DK148&lt;&gt;""),"",IF(AND($CV148&lt;&gt;$CW148,$CW148=CF$110),$DK148,"")),"")</f>
      </c>
      <c s="76">
        <f>IF(ISERROR(VLOOKUP(CV148,$AL$8:$AL$15,1,FALSE))=TRUE,IF(CF148&lt;&gt;"",IF(CF148&gt;0,RANK(CF148,$CF$111:$CF$300),""),""),"")</f>
      </c>
      <c s="75">
        <f>IF(ISERROR(VLOOKUP(CV148,$AL$8:$AL$15,1,FALSE))=TRUE,IF(AND(ISERROR(FIND("NeighMkt",$CX$102))=FALSE,LEFT($CW$111,10)="ALL OUTLET",$CA148&lt;&gt;"",DK148&lt;&gt;""),"",IF(AND($CV148&lt;&gt;$CW148,$CW148=CH$110),$DK148,"")),"")</f>
      </c>
      <c s="76">
        <f>IF(ISERROR(VLOOKUP(CV148,$AL$8:$AL$15,1,FALSE))=TRUE,IF(CH148&lt;&gt;"",IF(CH148&gt;0,RANK(CH148,$CH$111:$CH$300),""),""),"")</f>
      </c>
      <c s="75">
        <f>IF(ISERROR(VLOOKUP(CV148,$AL$8:$AL$15,1,FALSE))=TRUE,IF(AND(ISERROR(FIND("NeighMkt",$CX$102))=FALSE,LEFT($CW$111,10)="ALL OUTLET",$CA148&lt;&gt;"",DK148&lt;&gt;""),"",IF($Z$4="",IF(AND($CV148&lt;&gt;$CW148,$CW148=CJ$110),$DK148,""),IF(AND($CV148&lt;&gt;$CW148,$CW148&lt;&gt;CD$110,$CW148&lt;&gt;CF$110,$CW148&lt;&gt;CH$110,$CW148&lt;&gt;$CV$111),$DK148,""))),"")</f>
      </c>
      <c s="76">
        <f>IF(ISERROR(VLOOKUP(CV148,$AL$8:$AL$15,1,FALSE))=TRUE,IF(CJ148&lt;&gt;"",IF(CJ148&gt;0,RANK(CJ148,$CJ$111:$CJ$300),""),""),"")</f>
      </c>
      <c s="75">
        <f>IF(ISERROR(VLOOKUP(CV148,$AL$8:$AL$15,1,FALSE))=TRUE,IF(AND(CV148=CW148,CV148&lt;&gt;"",DJ148&lt;&gt;""),IF(AND(ISERROR(FIND("NeighMkt",$CX$102))=FALSE,LEFT($CW$111,10)="ALL OUTLET"),DJ148-IF(ISERROR(VLOOKUP(CV148,$CA$113:$DK$300,36,FALSE))=TRUE,0,IF(VLOOKUP(CV148,$CA$113:$DK$300,36,FALSE)="",0,VLOOKUP(CV148,$CA$113:$DK$300,36,FALSE))),DJ148),""),"")</f>
      </c>
      <c s="76">
        <f>IF(ISERROR(VLOOKUP(CV148,$AL$8:$AL$15,1,FALSE))=TRUE,IF(CL148&lt;&gt;"",IF(CL148&gt;0,IF($Z$4&lt;&gt;"",MIN(4,RANK(CL148,$CL$111:$CL$300)),RANK(CL148,$CL$111:$CL$300)),""),""),"")</f>
      </c>
      <c s="75">
        <f>IF(ISERROR(VLOOKUP(CV148,$AL$8:$AL$15,1,FALSE))=TRUE,IF(AND(ISERROR(FIND("NeighMkt",$CX$102))=FALSE,LEFT($CW$111,10)="ALL OUTLET",$CA148&lt;&gt;"",DJ148&lt;&gt;""),"",IF(AND($CV148&lt;&gt;$CW148,$CW148=CN$110),$DJ148,"")),"")</f>
        <v>8947260.52957344</v>
      </c>
      <c s="76">
        <f>IF(ISERROR(VLOOKUP(CV148,$AL$8:$AL$15,1,FALSE))=TRUE,IF(CN148&lt;&gt;"",IF(CN148&gt;0,RANK(CN148,$CN$111:$CN$300),""),""),"")</f>
        <v>14</v>
      </c>
      <c s="75">
        <f>IF(ISERROR(VLOOKUP(CV148,$AL$8:$AL$15,1,FALSE))=TRUE,IF(AND(ISERROR(FIND("NeighMkt",$CX$102))=FALSE,LEFT($CW$111,10)="ALL OUTLET",$CA148&lt;&gt;"",DJ148&lt;&gt;""),"",IF(AND($CV148&lt;&gt;$CW148,$CW148=CP$110),$DJ148,"")),"")</f>
      </c>
      <c s="76">
        <f>IF(ISERROR(VLOOKUP(CV148,$AL$8:$AL$15,1,FALSE))=TRUE,IF(CP148&lt;&gt;"",IF(CP148&gt;0,RANK(CP148,$CP$111:$CP$300),""),""),"")</f>
      </c>
      <c s="75">
        <f>IF(ISERROR(VLOOKUP(CV148,$AL$8:$AL$15,1,FALSE))=TRUE,IF(AND(ISERROR(FIND("NeighMkt",$CX$102))=FALSE,LEFT($CW$111,10)="ALL OUTLET",$CA148&lt;&gt;"",DJ148&lt;&gt;""),"",IF(AND($CV148&lt;&gt;$CW148,$CW148=CR$110),$DJ148,"")),"")</f>
      </c>
      <c s="76">
        <f>IF(ISERROR(VLOOKUP(CV148,$AL$8:$AL$15,1,FALSE))=TRUE,IF(CR148&lt;&gt;"",IF(CR148&gt;0,RANK(CR148,$CR$111:$CR$300),""),""),"")</f>
      </c>
      <c s="75">
        <f>IF(ISERROR(VLOOKUP(CV148,$AL$8:$AL$15,1,FALSE))=TRUE,IF(AND(ISERROR(FIND("NeighMkt",$CX$102))=FALSE,LEFT($CW$111,10)="ALL OUTLET",$CA148&lt;&gt;"",DJ148&lt;&gt;""),"",IF($Z$4="",IF(AND($CV148&lt;&gt;$CW148,$CW148=CT$110),$DJ148,""),IF(AND($CV148&lt;&gt;$CW148,$CW148&lt;&gt;CN$110,$CW148&lt;&gt;CP$110,$CW148&lt;&gt;CR$110,$CW148&lt;&gt;$CV$111),$DJ148,""))),"")</f>
      </c>
      <c s="76">
        <f>IF(ISERROR(VLOOKUP(CV148,$AL$8:$AL$15,1,FALSE))=TRUE,IF(CT148&lt;&gt;"",IF(CT148&gt;0,RANK(CT148,$CT$111:$CT$300),""),""),"")</f>
      </c>
      <c s="65" t="str">
        <f t="shared" si="2"/>
        <v>Fred Meyer</v>
      </c>
      <c s="65" t="str">
        <f t="shared" si="3"/>
        <v>GroceryX</v>
      </c>
      <c s="72" t="str">
        <f>IF('[1]Leakage Tree Data'!A47&lt;&gt;"",'[1]Leakage Tree Data'!A47,"")</f>
        <v>Total US - Fred Meyer</v>
      </c>
      <c s="72" t="str">
        <f>IF('[1]Leakage Tree Data'!B47&lt;&gt;"",'[1]Leakage Tree Data'!B47,"")</f>
        <v>Total US - GroceryX</v>
      </c>
      <c s="72">
        <f>IF('[1]Leakage Tree Data'!C47&lt;&gt;"",'[1]Leakage Tree Data'!C47,"")</f>
        <v>121171760.292236</v>
      </c>
      <c s="72">
        <f>IF('[1]Leakage Tree Data'!D47&lt;&gt;"",'[1]Leakage Tree Data'!D47,"")</f>
        <v>3828643.39715576</v>
      </c>
      <c s="72">
        <f>IF('[1]Leakage Tree Data'!E47&lt;&gt;"",'[1]Leakage Tree Data'!E47,"")</f>
        <v>3.15968290624979</v>
      </c>
      <c s="72">
        <f>IF('[1]Leakage Tree Data'!F47&lt;&gt;"",'[1]Leakage Tree Data'!F47,"")</f>
        <v>117343116.895081</v>
      </c>
      <c s="72">
        <f>IF('[1]Leakage Tree Data'!G47&lt;&gt;"",'[1]Leakage Tree Data'!G47,"")</f>
        <v>96.8403170937502</v>
      </c>
      <c s="72">
        <f>IF('[1]Leakage Tree Data'!H47&lt;&gt;"",'[1]Leakage Tree Data'!H47,"")</f>
        <v>61518209.9918823</v>
      </c>
      <c s="72" t="str">
        <f>IF('[1]Leakage Tree Data'!I47&lt;&gt;"",'[1]Leakage Tree Data'!I47,"")</f>
        <v>GroceryX</v>
      </c>
      <c s="72">
        <f>IF('[1]Leakage Tree Data'!J47&lt;&gt;"",'[1]Leakage Tree Data'!J47,"")</f>
        <v>98.8075727050512</v>
      </c>
      <c s="72">
        <f>IF('[1]Leakage Tree Data'!K47&lt;&gt;"",'[1]Leakage Tree Data'!K47,"")</f>
        <v>733559.927307129</v>
      </c>
      <c s="72">
        <f>IF('[1]Leakage Tree Data'!L47&lt;&gt;"",'[1]Leakage Tree Data'!L47,"")</f>
        <v>1573029.33479309</v>
      </c>
      <c s="72">
        <f>IF('[1]Leakage Tree Data'!M47&lt;&gt;"",'[1]Leakage Tree Data'!M47,"")</f>
        <v>8947260.52957344</v>
      </c>
      <c s="72">
        <f>IF('[1]Leakage Tree Data'!N47&lt;&gt;"",'[1]Leakage Tree Data'!N47,"")</f>
        <v>1573029.33479309</v>
      </c>
      <c s="72">
        <f>IF('[1]Leakage Tree Data'!O47&lt;&gt;"",'[1]Leakage Tree Data'!O47,"")</f>
        <v>38.8669563017578</v>
      </c>
      <c s="72">
        <f>IF('[1]Leakage Tree Data'!P47&lt;&gt;"",'[1]Leakage Tree Data'!P47,"")</f>
        <v>689292.001213403</v>
      </c>
      <c s="72">
        <f>IF('[1]Leakage Tree Data'!Q47&lt;&gt;"",'[1]Leakage Tree Data'!Q47,"")</f>
      </c>
      <c s="72">
        <f>IF('[1]Leakage Tree Data'!R47&lt;&gt;"",'[1]Leakage Tree Data'!R47,"")</f>
        <v>1017625.85098267</v>
      </c>
      <c s="72">
        <f>IF('[1]Leakage Tree Data'!S47&lt;&gt;"",'[1]Leakage Tree Data'!S47,"")</f>
        <v>83852.2239990234</v>
      </c>
      <c s="72">
        <f>IF('[1]Leakage Tree Data'!T47&lt;&gt;"",'[1]Leakage Tree Data'!T47,"")</f>
        <v>0.0430267956873522</v>
      </c>
      <c s="72">
        <f>IF('[1]Leakage Tree Data'!U47&lt;&gt;"",'[1]Leakage Tree Data'!U47,"")</f>
        <v>933773.626983643</v>
      </c>
      <c s="72">
        <f>IF('[1]Leakage Tree Data'!V47&lt;&gt;"",'[1]Leakage Tree Data'!V47,"")</f>
        <v>-0.0430267956873536</v>
      </c>
      <c s="72">
        <f>IF('[1]Leakage Tree Data'!W47&lt;&gt;"",'[1]Leakage Tree Data'!W47,"")</f>
        <v>-1855949.2237854</v>
      </c>
      <c s="72">
        <f>IF('[1]Leakage Tree Data'!X47&lt;&gt;"",'[1]Leakage Tree Data'!X47,"")</f>
      </c>
      <c s="72">
        <f>IF('[1]Leakage Tree Data'!Y47&lt;&gt;"",'[1]Leakage Tree Data'!Y47,"")</f>
        <v>0.00601222934430723</v>
      </c>
      <c s="72">
        <f>IF('[1]Leakage Tree Data'!Z47&lt;&gt;"",'[1]Leakage Tree Data'!Z47,"")</f>
        <v>-25941.044921875</v>
      </c>
      <c s="72">
        <f>IF('[1]Leakage Tree Data'!AA47&lt;&gt;"",'[1]Leakage Tree Data'!AA47,"")</f>
        <v>-1172242.80143738</v>
      </c>
      <c s="72">
        <f>IF('[1]Leakage Tree Data'!AB47&lt;&gt;"",'[1]Leakage Tree Data'!AB47,"")</f>
        <v>1626400.27356911</v>
      </c>
      <c s="72">
        <f>IF('[1]Leakage Tree Data'!AC47&lt;&gt;"",'[1]Leakage Tree Data'!AC47,"")</f>
        <v>-1172242.80143738</v>
      </c>
      <c s="72">
        <f>IF('[1]Leakage Tree Data'!AD47&lt;&gt;"",'[1]Leakage Tree Data'!AD47,"")</f>
        <v>-0.14555407723762</v>
      </c>
      <c s="72">
        <f>IF('[1]Leakage Tree Data'!AE47&lt;&gt;"",'[1]Leakage Tree Data'!AE47,"")</f>
      </c>
      <c s="73">
        <f t="shared" si="11"/>
      </c>
      <c s="73">
        <f t="shared" si="12"/>
      </c>
      <c s="73">
        <f t="shared" si="13"/>
      </c>
      <c s="73">
        <f t="shared" si="14"/>
      </c>
      <c s="74">
        <f t="shared" si="15"/>
      </c>
      <c s="74">
        <f t="shared" si="16"/>
      </c>
      <c s="69" t="str">
        <f t="shared" si="0"/>
        <v>Total US - Fred Meyer</v>
      </c>
      <c s="69" t="str">
        <f t="shared" si="1"/>
        <v>Total US - GroceryX</v>
      </c>
      <c s="77"/>
    </row>
    <row r="149" spans="1:141" ht="15">
      <c r="A1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149,$AL$8:$AL$15,1,FALSE))=TRUE,IF(AND(CV149=CW149,CV149&lt;&gt;"",DI$111&lt;&gt;"",DK149&lt;&gt;""),IF(CW$101="Y",DK149-IF(ISERROR(VLOOKUP(CV149,$CA$113:$DK$300,37,FALSE))=TRUE,0,IF(VLOOKUP(CV149,$CA$113:$DK$300,37,FALSE)="",0,VLOOKUP(CV149,$CA$113:$DK$300,37,FALSE))),DK149-IF(AND(CW$102="Y",CV149=$CW$111),DI$111,0)),""),"")</f>
      </c>
      <c s="76">
        <f>IF(ISERROR(VLOOKUP(CV149,$AL$8:$AL$15,1,FALSE))=TRUE,IF(CB149&lt;&gt;"",IF(CB149&gt;0,IF(Z$4&lt;&gt;"",MIN(4,RANK(CB149,$CB$111:$CB$300)),RANK(CB149,$CB$111:$CB$300)),""),""),"")</f>
      </c>
      <c s="75">
        <f>IF(ISERROR(VLOOKUP(CV149,$AL$8:$AL$15,1,FALSE))=TRUE,IF(AND(ISERROR(FIND("NeighMkt",$CX$102))=FALSE,LEFT($CW$111,10)="ALL OUTLET",$CA149&lt;&gt;"",DK149&lt;&gt;""),"",IF(AND($CV149&lt;&gt;$CW149,$CW149=CD$110),$DK149,"")),"")</f>
      </c>
      <c s="76">
        <f>IF(ISERROR(VLOOKUP(CV149,$AL$8:$AL$15,1,FALSE))=TRUE,IF(CD149&lt;&gt;"",IF(CD149&gt;0,RANK(CD149,$CD$111:$CD$300),""),""),"")</f>
      </c>
      <c s="75">
        <f>IF(ISERROR(VLOOKUP(CV149,$AL$8:$AL$15,1,FALSE))=TRUE,IF(AND(ISERROR(FIND("NeighMkt",$CX$102))=FALSE,LEFT($CW$111,10)="ALL OUTLET",$CA149&lt;&gt;"",DK149&lt;&gt;""),"",IF(AND($CV149&lt;&gt;$CW149,$CW149=CF$110),$DK149,"")),"")</f>
      </c>
      <c s="76">
        <f>IF(ISERROR(VLOOKUP(CV149,$AL$8:$AL$15,1,FALSE))=TRUE,IF(CF149&lt;&gt;"",IF(CF149&gt;0,RANK(CF149,$CF$111:$CF$300),""),""),"")</f>
      </c>
      <c s="75">
        <f>IF(ISERROR(VLOOKUP(CV149,$AL$8:$AL$15,1,FALSE))=TRUE,IF(AND(ISERROR(FIND("NeighMkt",$CX$102))=FALSE,LEFT($CW$111,10)="ALL OUTLET",$CA149&lt;&gt;"",DK149&lt;&gt;""),"",IF(AND($CV149&lt;&gt;$CW149,$CW149=CH$110),$DK149,"")),"")</f>
      </c>
      <c s="76">
        <f>IF(ISERROR(VLOOKUP(CV149,$AL$8:$AL$15,1,FALSE))=TRUE,IF(CH149&lt;&gt;"",IF(CH149&gt;0,RANK(CH149,$CH$111:$CH$300),""),""),"")</f>
      </c>
      <c s="75">
        <f>IF(ISERROR(VLOOKUP(CV149,$AL$8:$AL$15,1,FALSE))=TRUE,IF(AND(ISERROR(FIND("NeighMkt",$CX$102))=FALSE,LEFT($CW$111,10)="ALL OUTLET",$CA149&lt;&gt;"",DK149&lt;&gt;""),"",IF($Z$4="",IF(AND($CV149&lt;&gt;$CW149,$CW149=CJ$110),$DK149,""),IF(AND($CV149&lt;&gt;$CW149,$CW149&lt;&gt;CD$110,$CW149&lt;&gt;CF$110,$CW149&lt;&gt;CH$110,$CW149&lt;&gt;$CV$111),$DK149,""))),"")</f>
      </c>
      <c s="76">
        <f>IF(ISERROR(VLOOKUP(CV149,$AL$8:$AL$15,1,FALSE))=TRUE,IF(CJ149&lt;&gt;"",IF(CJ149&gt;0,RANK(CJ149,$CJ$111:$CJ$300),""),""),"")</f>
      </c>
      <c s="75">
        <f>IF(ISERROR(VLOOKUP(CV149,$AL$8:$AL$15,1,FALSE))=TRUE,IF(AND(CV149=CW149,CV149&lt;&gt;"",DJ149&lt;&gt;""),IF(AND(ISERROR(FIND("NeighMkt",$CX$102))=FALSE,LEFT($CW$111,10)="ALL OUTLET"),DJ149-IF(ISERROR(VLOOKUP(CV149,$CA$113:$DK$300,36,FALSE))=TRUE,0,IF(VLOOKUP(CV149,$CA$113:$DK$300,36,FALSE)="",0,VLOOKUP(CV149,$CA$113:$DK$300,36,FALSE))),DJ149),""),"")</f>
      </c>
      <c s="76">
        <f>IF(ISERROR(VLOOKUP(CV149,$AL$8:$AL$15,1,FALSE))=TRUE,IF(CL149&lt;&gt;"",IF(CL149&gt;0,IF($Z$4&lt;&gt;"",MIN(4,RANK(CL149,$CL$111:$CL$300)),RANK(CL149,$CL$111:$CL$300)),""),""),"")</f>
      </c>
      <c s="75">
        <f>IF(ISERROR(VLOOKUP(CV149,$AL$8:$AL$15,1,FALSE))=TRUE,IF(AND(ISERROR(FIND("NeighMkt",$CX$102))=FALSE,LEFT($CW$111,10)="ALL OUTLET",$CA149&lt;&gt;"",DJ149&lt;&gt;""),"",IF(AND($CV149&lt;&gt;$CW149,$CW149=CN$110),$DJ149,"")),"")</f>
      </c>
      <c s="76">
        <f>IF(ISERROR(VLOOKUP(CV149,$AL$8:$AL$15,1,FALSE))=TRUE,IF(CN149&lt;&gt;"",IF(CN149&gt;0,RANK(CN149,$CN$111:$CN$300),""),""),"")</f>
      </c>
      <c s="75">
        <f>IF(ISERROR(VLOOKUP(CV149,$AL$8:$AL$15,1,FALSE))=TRUE,IF(AND(ISERROR(FIND("NeighMkt",$CX$102))=FALSE,LEFT($CW$111,10)="ALL OUTLET",$CA149&lt;&gt;"",DJ149&lt;&gt;""),"",IF(AND($CV149&lt;&gt;$CW149,$CW149=CP$110),$DJ149,"")),"")</f>
      </c>
      <c s="76">
        <f>IF(ISERROR(VLOOKUP(CV149,$AL$8:$AL$15,1,FALSE))=TRUE,IF(CP149&lt;&gt;"",IF(CP149&gt;0,RANK(CP149,$CP$111:$CP$300),""),""),"")</f>
      </c>
      <c s="75">
        <f>IF(ISERROR(VLOOKUP(CV149,$AL$8:$AL$15,1,FALSE))=TRUE,IF(AND(ISERROR(FIND("NeighMkt",$CX$102))=FALSE,LEFT($CW$111,10)="ALL OUTLET",$CA149&lt;&gt;"",DJ149&lt;&gt;""),"",IF(AND($CV149&lt;&gt;$CW149,$CW149=CR$110),$DJ149,"")),"")</f>
      </c>
      <c s="76">
        <f>IF(ISERROR(VLOOKUP(CV149,$AL$8:$AL$15,1,FALSE))=TRUE,IF(CR149&lt;&gt;"",IF(CR149&gt;0,RANK(CR149,$CR$111:$CR$300),""),""),"")</f>
      </c>
      <c s="75">
        <f>IF(ISERROR(VLOOKUP(CV149,$AL$8:$AL$15,1,FALSE))=TRUE,IF(AND(ISERROR(FIND("NeighMkt",$CX$102))=FALSE,LEFT($CW$111,10)="ALL OUTLET",$CA149&lt;&gt;"",DJ149&lt;&gt;""),"",IF($Z$4="",IF(AND($CV149&lt;&gt;$CW149,$CW149=CT$110),$DJ149,""),IF(AND($CV149&lt;&gt;$CW149,$CW149&lt;&gt;CN$110,$CW149&lt;&gt;CP$110,$CW149&lt;&gt;CR$110,$CW149&lt;&gt;$CV$111),$DJ149,""))),"")</f>
      </c>
      <c s="76">
        <f>IF(ISERROR(VLOOKUP(CV149,$AL$8:$AL$15,1,FALSE))=TRUE,IF(CT149&lt;&gt;"",IF(CT149&gt;0,RANK(CT149,$CT$111:$CT$300),""),""),"")</f>
      </c>
      <c s="65" t="str">
        <f t="shared" si="2"/>
        <v>Fresh &amp; Easy Neighborhood</v>
      </c>
      <c s="65" t="str">
        <f t="shared" si="3"/>
        <v>GroceryX</v>
      </c>
      <c s="72" t="str">
        <f>IF('[1]Leakage Tree Data'!A48&lt;&gt;"",'[1]Leakage Tree Data'!A48,"")</f>
        <v>Total US - Fresh &amp; Easy Neighborhood</v>
      </c>
      <c s="72" t="str">
        <f>IF('[1]Leakage Tree Data'!B48&lt;&gt;"",'[1]Leakage Tree Data'!B48,"")</f>
        <v>Total US - GroceryX</v>
      </c>
      <c s="72">
        <f>IF('[1]Leakage Tree Data'!C48&lt;&gt;"",'[1]Leakage Tree Data'!C48,"")</f>
        <v>121171760.292236</v>
      </c>
      <c s="72">
        <f>IF('[1]Leakage Tree Data'!D48&lt;&gt;"",'[1]Leakage Tree Data'!D48,"")</f>
        <v>1436724.10437012</v>
      </c>
      <c s="72">
        <f>IF('[1]Leakage Tree Data'!E48&lt;&gt;"",'[1]Leakage Tree Data'!E48,"")</f>
        <v>1.1856921950338</v>
      </c>
      <c s="72">
        <f>IF('[1]Leakage Tree Data'!F48&lt;&gt;"",'[1]Leakage Tree Data'!F48,"")</f>
        <v>119735036.187866</v>
      </c>
      <c s="72">
        <f>IF('[1]Leakage Tree Data'!G48&lt;&gt;"",'[1]Leakage Tree Data'!G48,"")</f>
        <v>98.8143078049662</v>
      </c>
      <c s="72">
        <f>IF('[1]Leakage Tree Data'!H48&lt;&gt;"",'[1]Leakage Tree Data'!H48,"")</f>
        <v>61518209.9918823</v>
      </c>
      <c s="72" t="str">
        <f>IF('[1]Leakage Tree Data'!I48&lt;&gt;"",'[1]Leakage Tree Data'!I48,"")</f>
        <v>GroceryX</v>
      </c>
      <c s="72">
        <f>IF('[1]Leakage Tree Data'!J48&lt;&gt;"",'[1]Leakage Tree Data'!J48,"")</f>
      </c>
      <c s="72">
        <f>IF('[1]Leakage Tree Data'!K48&lt;&gt;"",'[1]Leakage Tree Data'!K48,"")</f>
      </c>
      <c s="72">
        <f>IF('[1]Leakage Tree Data'!L48&lt;&gt;"",'[1]Leakage Tree Data'!L48,"")</f>
      </c>
      <c s="72">
        <f>IF('[1]Leakage Tree Data'!M48&lt;&gt;"",'[1]Leakage Tree Data'!M48,"")</f>
      </c>
      <c s="72">
        <f>IF('[1]Leakage Tree Data'!N48&lt;&gt;"",'[1]Leakage Tree Data'!N48,"")</f>
      </c>
      <c s="72">
        <f>IF('[1]Leakage Tree Data'!O48&lt;&gt;"",'[1]Leakage Tree Data'!O48,"")</f>
      </c>
      <c s="72">
        <f>IF('[1]Leakage Tree Data'!P48&lt;&gt;"",'[1]Leakage Tree Data'!P48,"")</f>
      </c>
      <c s="72">
        <f>IF('[1]Leakage Tree Data'!Q48&lt;&gt;"",'[1]Leakage Tree Data'!Q48,"")</f>
      </c>
      <c s="72">
        <f>IF('[1]Leakage Tree Data'!R48&lt;&gt;"",'[1]Leakage Tree Data'!R48,"")</f>
        <v>1017625.85098267</v>
      </c>
      <c s="72">
        <f>IF('[1]Leakage Tree Data'!S48&lt;&gt;"",'[1]Leakage Tree Data'!S48,"")</f>
        <v>-501982.135375977</v>
      </c>
      <c s="72">
        <f>IF('[1]Leakage Tree Data'!T48&lt;&gt;"",'[1]Leakage Tree Data'!T48,"")</f>
        <v>-0.427823851468927</v>
      </c>
      <c s="72">
        <f>IF('[1]Leakage Tree Data'!U48&lt;&gt;"",'[1]Leakage Tree Data'!U48,"")</f>
        <v>1519607.98635864</v>
      </c>
      <c s="72">
        <f>IF('[1]Leakage Tree Data'!V48&lt;&gt;"",'[1]Leakage Tree Data'!V48,"")</f>
        <v>0.427823851468929</v>
      </c>
      <c s="72">
        <f>IF('[1]Leakage Tree Data'!W48&lt;&gt;"",'[1]Leakage Tree Data'!W48,"")</f>
        <v>-1855949.2237854</v>
      </c>
      <c s="72">
        <f>IF('[1]Leakage Tree Data'!X48&lt;&gt;"",'[1]Leakage Tree Data'!X48,"")</f>
      </c>
      <c s="72">
        <f>IF('[1]Leakage Tree Data'!Y48&lt;&gt;"",'[1]Leakage Tree Data'!Y48,"")</f>
      </c>
      <c s="72">
        <f>IF('[1]Leakage Tree Data'!Z48&lt;&gt;"",'[1]Leakage Tree Data'!Z48,"")</f>
      </c>
      <c s="72">
        <f>IF('[1]Leakage Tree Data'!AA48&lt;&gt;"",'[1]Leakage Tree Data'!AA48,"")</f>
      </c>
      <c s="72">
        <f>IF('[1]Leakage Tree Data'!AB48&lt;&gt;"",'[1]Leakage Tree Data'!AB48,"")</f>
      </c>
      <c s="72">
        <f>IF('[1]Leakage Tree Data'!AC48&lt;&gt;"",'[1]Leakage Tree Data'!AC48,"")</f>
      </c>
      <c s="72">
        <f>IF('[1]Leakage Tree Data'!AD48&lt;&gt;"",'[1]Leakage Tree Data'!AD48,"")</f>
      </c>
      <c s="72">
        <f>IF('[1]Leakage Tree Data'!AE48&lt;&gt;"",'[1]Leakage Tree Data'!AE48,"")</f>
      </c>
      <c s="73">
        <f t="shared" si="11"/>
      </c>
      <c s="73">
        <f t="shared" si="12"/>
      </c>
      <c s="73">
        <f t="shared" si="13"/>
      </c>
      <c s="73">
        <f t="shared" si="14"/>
      </c>
      <c s="74">
        <f t="shared" si="15"/>
      </c>
      <c s="74">
        <f t="shared" si="16"/>
      </c>
      <c s="69" t="str">
        <f t="shared" si="0"/>
        <v>Total US - Fresh &amp; Easy Neighborhood</v>
      </c>
      <c s="69" t="str">
        <f t="shared" si="1"/>
        <v>Total US - GroceryX</v>
      </c>
      <c s="77"/>
    </row>
    <row r="150" spans="1:141" ht="15">
      <c r="A1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150,$AL$8:$AL$15,1,FALSE))=TRUE,IF(AND(CV150=CW150,CV150&lt;&gt;"",DI$111&lt;&gt;"",DK150&lt;&gt;""),IF(CW$101="Y",DK150-IF(ISERROR(VLOOKUP(CV150,$CA$113:$DK$300,37,FALSE))=TRUE,0,IF(VLOOKUP(CV150,$CA$113:$DK$300,37,FALSE)="",0,VLOOKUP(CV150,$CA$113:$DK$300,37,FALSE))),DK150-IF(AND(CW$102="Y",CV150=$CW$111),DI$111,0)),""),"")</f>
      </c>
      <c s="76">
        <f>IF(ISERROR(VLOOKUP(CV150,$AL$8:$AL$15,1,FALSE))=TRUE,IF(CB150&lt;&gt;"",IF(CB150&gt;0,IF(Z$4&lt;&gt;"",MIN(4,RANK(CB150,$CB$111:$CB$300)),RANK(CB150,$CB$111:$CB$300)),""),""),"")</f>
      </c>
      <c s="75">
        <f>IF(ISERROR(VLOOKUP(CV150,$AL$8:$AL$15,1,FALSE))=TRUE,IF(AND(ISERROR(FIND("NeighMkt",$CX$102))=FALSE,LEFT($CW$111,10)="ALL OUTLET",$CA150&lt;&gt;"",DK150&lt;&gt;""),"",IF(AND($CV150&lt;&gt;$CW150,$CW150=CD$110),$DK150,"")),"")</f>
      </c>
      <c s="76">
        <f>IF(ISERROR(VLOOKUP(CV150,$AL$8:$AL$15,1,FALSE))=TRUE,IF(CD150&lt;&gt;"",IF(CD150&gt;0,RANK(CD150,$CD$111:$CD$300),""),""),"")</f>
      </c>
      <c s="75">
        <f>IF(ISERROR(VLOOKUP(CV150,$AL$8:$AL$15,1,FALSE))=TRUE,IF(AND(ISERROR(FIND("NeighMkt",$CX$102))=FALSE,LEFT($CW$111,10)="ALL OUTLET",$CA150&lt;&gt;"",DK150&lt;&gt;""),"",IF(AND($CV150&lt;&gt;$CW150,$CW150=CF$110),$DK150,"")),"")</f>
      </c>
      <c s="76">
        <f>IF(ISERROR(VLOOKUP(CV150,$AL$8:$AL$15,1,FALSE))=TRUE,IF(CF150&lt;&gt;"",IF(CF150&gt;0,RANK(CF150,$CF$111:$CF$300),""),""),"")</f>
      </c>
      <c s="75">
        <f>IF(ISERROR(VLOOKUP(CV150,$AL$8:$AL$15,1,FALSE))=TRUE,IF(AND(ISERROR(FIND("NeighMkt",$CX$102))=FALSE,LEFT($CW$111,10)="ALL OUTLET",$CA150&lt;&gt;"",DK150&lt;&gt;""),"",IF(AND($CV150&lt;&gt;$CW150,$CW150=CH$110),$DK150,"")),"")</f>
      </c>
      <c s="76">
        <f>IF(ISERROR(VLOOKUP(CV150,$AL$8:$AL$15,1,FALSE))=TRUE,IF(CH150&lt;&gt;"",IF(CH150&gt;0,RANK(CH150,$CH$111:$CH$300),""),""),"")</f>
      </c>
      <c s="75">
        <f>IF(ISERROR(VLOOKUP(CV150,$AL$8:$AL$15,1,FALSE))=TRUE,IF(AND(ISERROR(FIND("NeighMkt",$CX$102))=FALSE,LEFT($CW$111,10)="ALL OUTLET",$CA150&lt;&gt;"",DK150&lt;&gt;""),"",IF($Z$4="",IF(AND($CV150&lt;&gt;$CW150,$CW150=CJ$110),$DK150,""),IF(AND($CV150&lt;&gt;$CW150,$CW150&lt;&gt;CD$110,$CW150&lt;&gt;CF$110,$CW150&lt;&gt;CH$110,$CW150&lt;&gt;$CV$111),$DK150,""))),"")</f>
      </c>
      <c s="76">
        <f>IF(ISERROR(VLOOKUP(CV150,$AL$8:$AL$15,1,FALSE))=TRUE,IF(CJ150&lt;&gt;"",IF(CJ150&gt;0,RANK(CJ150,$CJ$111:$CJ$300),""),""),"")</f>
      </c>
      <c s="75">
        <f>IF(ISERROR(VLOOKUP(CV150,$AL$8:$AL$15,1,FALSE))=TRUE,IF(AND(CV150=CW150,CV150&lt;&gt;"",DJ150&lt;&gt;""),IF(AND(ISERROR(FIND("NeighMkt",$CX$102))=FALSE,LEFT($CW$111,10)="ALL OUTLET"),DJ150-IF(ISERROR(VLOOKUP(CV150,$CA$113:$DK$300,36,FALSE))=TRUE,0,IF(VLOOKUP(CV150,$CA$113:$DK$300,36,FALSE)="",0,VLOOKUP(CV150,$CA$113:$DK$300,36,FALSE))),DJ150),""),"")</f>
      </c>
      <c s="76">
        <f>IF(ISERROR(VLOOKUP(CV150,$AL$8:$AL$15,1,FALSE))=TRUE,IF(CL150&lt;&gt;"",IF(CL150&gt;0,IF($Z$4&lt;&gt;"",MIN(4,RANK(CL150,$CL$111:$CL$300)),RANK(CL150,$CL$111:$CL$300)),""),""),"")</f>
      </c>
      <c s="75">
        <f>IF(ISERROR(VLOOKUP(CV150,$AL$8:$AL$15,1,FALSE))=TRUE,IF(AND(ISERROR(FIND("NeighMkt",$CX$102))=FALSE,LEFT($CW$111,10)="ALL OUTLET",$CA150&lt;&gt;"",DJ150&lt;&gt;""),"",IF(AND($CV150&lt;&gt;$CW150,$CW150=CN$110),$DJ150,"")),"")</f>
      </c>
      <c s="76">
        <f>IF(ISERROR(VLOOKUP(CV150,$AL$8:$AL$15,1,FALSE))=TRUE,IF(CN150&lt;&gt;"",IF(CN150&gt;0,RANK(CN150,$CN$111:$CN$300),""),""),"")</f>
      </c>
      <c s="75">
        <f>IF(ISERROR(VLOOKUP(CV150,$AL$8:$AL$15,1,FALSE))=TRUE,IF(AND(ISERROR(FIND("NeighMkt",$CX$102))=FALSE,LEFT($CW$111,10)="ALL OUTLET",$CA150&lt;&gt;"",DJ150&lt;&gt;""),"",IF(AND($CV150&lt;&gt;$CW150,$CW150=CP$110),$DJ150,"")),"")</f>
      </c>
      <c s="76">
        <f>IF(ISERROR(VLOOKUP(CV150,$AL$8:$AL$15,1,FALSE))=TRUE,IF(CP150&lt;&gt;"",IF(CP150&gt;0,RANK(CP150,$CP$111:$CP$300),""),""),"")</f>
      </c>
      <c s="75">
        <f>IF(ISERROR(VLOOKUP(CV150,$AL$8:$AL$15,1,FALSE))=TRUE,IF(AND(ISERROR(FIND("NeighMkt",$CX$102))=FALSE,LEFT($CW$111,10)="ALL OUTLET",$CA150&lt;&gt;"",DJ150&lt;&gt;""),"",IF(AND($CV150&lt;&gt;$CW150,$CW150=CR$110),$DJ150,"")),"")</f>
      </c>
      <c s="76">
        <f>IF(ISERROR(VLOOKUP(CV150,$AL$8:$AL$15,1,FALSE))=TRUE,IF(CR150&lt;&gt;"",IF(CR150&gt;0,RANK(CR150,$CR$111:$CR$300),""),""),"")</f>
      </c>
      <c s="75">
        <f>IF(ISERROR(VLOOKUP(CV150,$AL$8:$AL$15,1,FALSE))=TRUE,IF(AND(ISERROR(FIND("NeighMkt",$CX$102))=FALSE,LEFT($CW$111,10)="ALL OUTLET",$CA150&lt;&gt;"",DJ150&lt;&gt;""),"",IF($Z$4="",IF(AND($CV150&lt;&gt;$CW150,$CW150=CT$110),$DJ150,""),IF(AND($CV150&lt;&gt;$CW150,$CW150&lt;&gt;CN$110,$CW150&lt;&gt;CP$110,$CW150&lt;&gt;CR$110,$CW150&lt;&gt;$CV$111),$DJ150,""))),"")</f>
      </c>
      <c s="76">
        <f>IF(ISERROR(VLOOKUP(CV150,$AL$8:$AL$15,1,FALSE))=TRUE,IF(CT150&lt;&gt;"",IF(CT150&gt;0,RANK(CT150,$CT$111:$CT$300),""),""),"")</f>
      </c>
      <c s="65" t="str">
        <f t="shared" si="2"/>
        <v>Fresh Market</v>
      </c>
      <c s="65" t="str">
        <f t="shared" si="3"/>
        <v>GroceryX</v>
      </c>
      <c s="72" t="str">
        <f>IF('[1]Leakage Tree Data'!A49&lt;&gt;"",'[1]Leakage Tree Data'!A49,"")</f>
        <v>Total US - Fresh Market</v>
      </c>
      <c s="72" t="str">
        <f>IF('[1]Leakage Tree Data'!B49&lt;&gt;"",'[1]Leakage Tree Data'!B49,"")</f>
        <v>Total US - GroceryX</v>
      </c>
      <c s="72">
        <f>IF('[1]Leakage Tree Data'!C49&lt;&gt;"",'[1]Leakage Tree Data'!C49,"")</f>
        <v>121171760.292236</v>
      </c>
      <c s="72">
        <f>IF('[1]Leakage Tree Data'!D49&lt;&gt;"",'[1]Leakage Tree Data'!D49,"")</f>
        <v>1556644.13745117</v>
      </c>
      <c s="72">
        <f>IF('[1]Leakage Tree Data'!E49&lt;&gt;"",'[1]Leakage Tree Data'!E49,"")</f>
        <v>1.28465917611243</v>
      </c>
      <c s="72">
        <f>IF('[1]Leakage Tree Data'!F49&lt;&gt;"",'[1]Leakage Tree Data'!F49,"")</f>
        <v>119615116.154785</v>
      </c>
      <c s="72">
        <f>IF('[1]Leakage Tree Data'!G49&lt;&gt;"",'[1]Leakage Tree Data'!G49,"")</f>
        <v>98.7153408238876</v>
      </c>
      <c s="72">
        <f>IF('[1]Leakage Tree Data'!H49&lt;&gt;"",'[1]Leakage Tree Data'!H49,"")</f>
        <v>61518209.9918823</v>
      </c>
      <c s="72" t="str">
        <f>IF('[1]Leakage Tree Data'!I49&lt;&gt;"",'[1]Leakage Tree Data'!I49,"")</f>
        <v>GroceryX</v>
      </c>
      <c s="72">
        <f>IF('[1]Leakage Tree Data'!J49&lt;&gt;"",'[1]Leakage Tree Data'!J49,"")</f>
      </c>
      <c s="72">
        <f>IF('[1]Leakage Tree Data'!K49&lt;&gt;"",'[1]Leakage Tree Data'!K49,"")</f>
      </c>
      <c s="72">
        <f>IF('[1]Leakage Tree Data'!L49&lt;&gt;"",'[1]Leakage Tree Data'!L49,"")</f>
      </c>
      <c s="72">
        <f>IF('[1]Leakage Tree Data'!M49&lt;&gt;"",'[1]Leakage Tree Data'!M49,"")</f>
      </c>
      <c s="72">
        <f>IF('[1]Leakage Tree Data'!N49&lt;&gt;"",'[1]Leakage Tree Data'!N49,"")</f>
      </c>
      <c s="72">
        <f>IF('[1]Leakage Tree Data'!O49&lt;&gt;"",'[1]Leakage Tree Data'!O49,"")</f>
      </c>
      <c s="72">
        <f>IF('[1]Leakage Tree Data'!P49&lt;&gt;"",'[1]Leakage Tree Data'!P49,"")</f>
      </c>
      <c s="72">
        <f>IF('[1]Leakage Tree Data'!Q49&lt;&gt;"",'[1]Leakage Tree Data'!Q49,"")</f>
      </c>
      <c s="72">
        <f>IF('[1]Leakage Tree Data'!R49&lt;&gt;"",'[1]Leakage Tree Data'!R49,"")</f>
        <v>1017625.85098267</v>
      </c>
      <c s="72">
        <f>IF('[1]Leakage Tree Data'!S49&lt;&gt;"",'[1]Leakage Tree Data'!S49,"")</f>
        <v>13113.4857177734</v>
      </c>
      <c s="72">
        <f>IF('[1]Leakage Tree Data'!T49&lt;&gt;"",'[1]Leakage Tree Data'!T49,"")</f>
        <v>3.36749499469935E-05</v>
      </c>
      <c s="72">
        <f>IF('[1]Leakage Tree Data'!U49&lt;&gt;"",'[1]Leakage Tree Data'!U49,"")</f>
        <v>1004512.36526489</v>
      </c>
      <c s="72">
        <f>IF('[1]Leakage Tree Data'!V49&lt;&gt;"",'[1]Leakage Tree Data'!V49,"")</f>
        <v>-3.36749499467714E-05</v>
      </c>
      <c s="72">
        <f>IF('[1]Leakage Tree Data'!W49&lt;&gt;"",'[1]Leakage Tree Data'!W49,"")</f>
        <v>-1855949.2237854</v>
      </c>
      <c s="72">
        <f>IF('[1]Leakage Tree Data'!X49&lt;&gt;"",'[1]Leakage Tree Data'!X49,"")</f>
      </c>
      <c s="72">
        <f>IF('[1]Leakage Tree Data'!Y49&lt;&gt;"",'[1]Leakage Tree Data'!Y49,"")</f>
      </c>
      <c s="72">
        <f>IF('[1]Leakage Tree Data'!Z49&lt;&gt;"",'[1]Leakage Tree Data'!Z49,"")</f>
      </c>
      <c s="72">
        <f>IF('[1]Leakage Tree Data'!AA49&lt;&gt;"",'[1]Leakage Tree Data'!AA49,"")</f>
      </c>
      <c s="72">
        <f>IF('[1]Leakage Tree Data'!AB49&lt;&gt;"",'[1]Leakage Tree Data'!AB49,"")</f>
      </c>
      <c s="72">
        <f>IF('[1]Leakage Tree Data'!AC49&lt;&gt;"",'[1]Leakage Tree Data'!AC49,"")</f>
      </c>
      <c s="72">
        <f>IF('[1]Leakage Tree Data'!AD49&lt;&gt;"",'[1]Leakage Tree Data'!AD49,"")</f>
      </c>
      <c s="72">
        <f>IF('[1]Leakage Tree Data'!AE49&lt;&gt;"",'[1]Leakage Tree Data'!AE49,"")</f>
      </c>
      <c s="73">
        <f t="shared" si="11"/>
      </c>
      <c s="73">
        <f t="shared" si="12"/>
      </c>
      <c s="73">
        <f t="shared" si="13"/>
      </c>
      <c s="73">
        <f t="shared" si="14"/>
      </c>
      <c s="74">
        <f t="shared" si="15"/>
      </c>
      <c s="74">
        <f t="shared" si="16"/>
      </c>
      <c s="69" t="str">
        <f t="shared" si="0"/>
        <v>Total US - Fresh Market</v>
      </c>
      <c s="69" t="str">
        <f t="shared" si="1"/>
        <v>Total US - GroceryX</v>
      </c>
      <c s="77"/>
    </row>
    <row r="151" spans="1:141" ht="15">
      <c r="A1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151,$AL$8:$AL$15,1,FALSE))=TRUE,IF(AND(CV151=CW151,CV151&lt;&gt;"",DI$111&lt;&gt;"",DK151&lt;&gt;""),IF(CW$101="Y",DK151-IF(ISERROR(VLOOKUP(CV151,$CA$113:$DK$300,37,FALSE))=TRUE,0,IF(VLOOKUP(CV151,$CA$113:$DK$300,37,FALSE)="",0,VLOOKUP(CV151,$CA$113:$DK$300,37,FALSE))),DK151-IF(AND(CW$102="Y",CV151=$CW$111),DI$111,0)),""),"")</f>
      </c>
      <c s="76">
        <f>IF(ISERROR(VLOOKUP(CV151,$AL$8:$AL$15,1,FALSE))=TRUE,IF(CB151&lt;&gt;"",IF(CB151&gt;0,IF(Z$4&lt;&gt;"",MIN(4,RANK(CB151,$CB$111:$CB$300)),RANK(CB151,$CB$111:$CB$300)),""),""),"")</f>
      </c>
      <c s="75">
        <f>IF(ISERROR(VLOOKUP(CV151,$AL$8:$AL$15,1,FALSE))=TRUE,IF(AND(ISERROR(FIND("NeighMkt",$CX$102))=FALSE,LEFT($CW$111,10)="ALL OUTLET",$CA151&lt;&gt;"",DK151&lt;&gt;""),"",IF(AND($CV151&lt;&gt;$CW151,$CW151=CD$110),$DK151,"")),"")</f>
        <v>3679394.31938171</v>
      </c>
      <c s="76">
        <f>IF(ISERROR(VLOOKUP(CV151,$AL$8:$AL$15,1,FALSE))=TRUE,IF(CD151&lt;&gt;"",IF(CD151&gt;0,RANK(CD151,$CD$111:$CD$300),""),""),"")</f>
        <v>13</v>
      </c>
      <c s="75">
        <f>IF(ISERROR(VLOOKUP(CV151,$AL$8:$AL$15,1,FALSE))=TRUE,IF(AND(ISERROR(FIND("NeighMkt",$CX$102))=FALSE,LEFT($CW$111,10)="ALL OUTLET",$CA151&lt;&gt;"",DK151&lt;&gt;""),"",IF(AND($CV151&lt;&gt;$CW151,$CW151=CF$110),$DK151,"")),"")</f>
      </c>
      <c s="76">
        <f>IF(ISERROR(VLOOKUP(CV151,$AL$8:$AL$15,1,FALSE))=TRUE,IF(CF151&lt;&gt;"",IF(CF151&gt;0,RANK(CF151,$CF$111:$CF$300),""),""),"")</f>
      </c>
      <c s="75">
        <f>IF(ISERROR(VLOOKUP(CV151,$AL$8:$AL$15,1,FALSE))=TRUE,IF(AND(ISERROR(FIND("NeighMkt",$CX$102))=FALSE,LEFT($CW$111,10)="ALL OUTLET",$CA151&lt;&gt;"",DK151&lt;&gt;""),"",IF(AND($CV151&lt;&gt;$CW151,$CW151=CH$110),$DK151,"")),"")</f>
      </c>
      <c s="76">
        <f>IF(ISERROR(VLOOKUP(CV151,$AL$8:$AL$15,1,FALSE))=TRUE,IF(CH151&lt;&gt;"",IF(CH151&gt;0,RANK(CH151,$CH$111:$CH$300),""),""),"")</f>
      </c>
      <c s="75">
        <f>IF(ISERROR(VLOOKUP(CV151,$AL$8:$AL$15,1,FALSE))=TRUE,IF(AND(ISERROR(FIND("NeighMkt",$CX$102))=FALSE,LEFT($CW$111,10)="ALL OUTLET",$CA151&lt;&gt;"",DK151&lt;&gt;""),"",IF($Z$4="",IF(AND($CV151&lt;&gt;$CW151,$CW151=CJ$110),$DK151,""),IF(AND($CV151&lt;&gt;$CW151,$CW151&lt;&gt;CD$110,$CW151&lt;&gt;CF$110,$CW151&lt;&gt;CH$110,$CW151&lt;&gt;$CV$111),$DK151,""))),"")</f>
      </c>
      <c s="76">
        <f>IF(ISERROR(VLOOKUP(CV151,$AL$8:$AL$15,1,FALSE))=TRUE,IF(CJ151&lt;&gt;"",IF(CJ151&gt;0,RANK(CJ151,$CJ$111:$CJ$300),""),""),"")</f>
      </c>
      <c s="75">
        <f>IF(ISERROR(VLOOKUP(CV151,$AL$8:$AL$15,1,FALSE))=TRUE,IF(AND(CV151=CW151,CV151&lt;&gt;"",DJ151&lt;&gt;""),IF(AND(ISERROR(FIND("NeighMkt",$CX$102))=FALSE,LEFT($CW$111,10)="ALL OUTLET"),DJ151-IF(ISERROR(VLOOKUP(CV151,$CA$113:$DK$300,36,FALSE))=TRUE,0,IF(VLOOKUP(CV151,$CA$113:$DK$300,36,FALSE)="",0,VLOOKUP(CV151,$CA$113:$DK$300,36,FALSE))),DJ151),""),"")</f>
      </c>
      <c s="76">
        <f>IF(ISERROR(VLOOKUP(CV151,$AL$8:$AL$15,1,FALSE))=TRUE,IF(CL151&lt;&gt;"",IF(CL151&gt;0,IF($Z$4&lt;&gt;"",MIN(4,RANK(CL151,$CL$111:$CL$300)),RANK(CL151,$CL$111:$CL$300)),""),""),"")</f>
      </c>
      <c s="75">
        <f>IF(ISERROR(VLOOKUP(CV151,$AL$8:$AL$15,1,FALSE))=TRUE,IF(AND(ISERROR(FIND("NeighMkt",$CX$102))=FALSE,LEFT($CW$111,10)="ALL OUTLET",$CA151&lt;&gt;"",DJ151&lt;&gt;""),"",IF(AND($CV151&lt;&gt;$CW151,$CW151=CN$110),$DJ151,"")),"")</f>
        <v>7295317.32318115</v>
      </c>
      <c s="76">
        <f>IF(ISERROR(VLOOKUP(CV151,$AL$8:$AL$15,1,FALSE))=TRUE,IF(CN151&lt;&gt;"",IF(CN151&gt;0,RANK(CN151,$CN$111:$CN$300),""),""),"")</f>
        <v>22</v>
      </c>
      <c s="75">
        <f>IF(ISERROR(VLOOKUP(CV151,$AL$8:$AL$15,1,FALSE))=TRUE,IF(AND(ISERROR(FIND("NeighMkt",$CX$102))=FALSE,LEFT($CW$111,10)="ALL OUTLET",$CA151&lt;&gt;"",DJ151&lt;&gt;""),"",IF(AND($CV151&lt;&gt;$CW151,$CW151=CP$110),$DJ151,"")),"")</f>
      </c>
      <c s="76">
        <f>IF(ISERROR(VLOOKUP(CV151,$AL$8:$AL$15,1,FALSE))=TRUE,IF(CP151&lt;&gt;"",IF(CP151&gt;0,RANK(CP151,$CP$111:$CP$300),""),""),"")</f>
      </c>
      <c s="75">
        <f>IF(ISERROR(VLOOKUP(CV151,$AL$8:$AL$15,1,FALSE))=TRUE,IF(AND(ISERROR(FIND("NeighMkt",$CX$102))=FALSE,LEFT($CW$111,10)="ALL OUTLET",$CA151&lt;&gt;"",DJ151&lt;&gt;""),"",IF(AND($CV151&lt;&gt;$CW151,$CW151=CR$110),$DJ151,"")),"")</f>
      </c>
      <c s="76">
        <f>IF(ISERROR(VLOOKUP(CV151,$AL$8:$AL$15,1,FALSE))=TRUE,IF(CR151&lt;&gt;"",IF(CR151&gt;0,RANK(CR151,$CR$111:$CR$300),""),""),"")</f>
      </c>
      <c s="75">
        <f>IF(ISERROR(VLOOKUP(CV151,$AL$8:$AL$15,1,FALSE))=TRUE,IF(AND(ISERROR(FIND("NeighMkt",$CX$102))=FALSE,LEFT($CW$111,10)="ALL OUTLET",$CA151&lt;&gt;"",DJ151&lt;&gt;""),"",IF($Z$4="",IF(AND($CV151&lt;&gt;$CW151,$CW151=CT$110),$DJ151,""),IF(AND($CV151&lt;&gt;$CW151,$CW151&lt;&gt;CN$110,$CW151&lt;&gt;CP$110,$CW151&lt;&gt;CR$110,$CW151&lt;&gt;$CV$111),$DJ151,""))),"")</f>
      </c>
      <c s="76">
        <f>IF(ISERROR(VLOOKUP(CV151,$AL$8:$AL$15,1,FALSE))=TRUE,IF(CT151&lt;&gt;"",IF(CT151&gt;0,RANK(CT151,$CT$111:$CT$300),""),""),"")</f>
      </c>
      <c s="65" t="str">
        <f t="shared" si="2"/>
        <v>Frys</v>
      </c>
      <c s="65" t="str">
        <f t="shared" si="3"/>
        <v>GroceryX</v>
      </c>
      <c s="72" t="str">
        <f>IF('[1]Leakage Tree Data'!A50&lt;&gt;"",'[1]Leakage Tree Data'!A50,"")</f>
        <v>Total US - Frys</v>
      </c>
      <c s="72" t="str">
        <f>IF('[1]Leakage Tree Data'!B50&lt;&gt;"",'[1]Leakage Tree Data'!B50,"")</f>
        <v>Total US - GroceryX</v>
      </c>
      <c s="72">
        <f>IF('[1]Leakage Tree Data'!C50&lt;&gt;"",'[1]Leakage Tree Data'!C50,"")</f>
        <v>121171760.292236</v>
      </c>
      <c s="72">
        <f>IF('[1]Leakage Tree Data'!D50&lt;&gt;"",'[1]Leakage Tree Data'!D50,"")</f>
        <v>2046207.90725708</v>
      </c>
      <c s="72">
        <f>IF('[1]Leakage Tree Data'!E50&lt;&gt;"",'[1]Leakage Tree Data'!E50,"")</f>
        <v>1.68868381735326</v>
      </c>
      <c s="72">
        <f>IF('[1]Leakage Tree Data'!F50&lt;&gt;"",'[1]Leakage Tree Data'!F50,"")</f>
        <v>119125552.384979</v>
      </c>
      <c s="72">
        <f>IF('[1]Leakage Tree Data'!G50&lt;&gt;"",'[1]Leakage Tree Data'!G50,"")</f>
        <v>98.3113161826467</v>
      </c>
      <c s="72">
        <f>IF('[1]Leakage Tree Data'!H50&lt;&gt;"",'[1]Leakage Tree Data'!H50,"")</f>
        <v>61518209.9918823</v>
      </c>
      <c s="72" t="str">
        <f>IF('[1]Leakage Tree Data'!I50&lt;&gt;"",'[1]Leakage Tree Data'!I50,"")</f>
        <v>GroceryX</v>
      </c>
      <c s="72">
        <f>IF('[1]Leakage Tree Data'!J50&lt;&gt;"",'[1]Leakage Tree Data'!J50,"")</f>
        <v>99.0705836780477</v>
      </c>
      <c s="72">
        <f>IF('[1]Leakage Tree Data'!K50&lt;&gt;"",'[1]Leakage Tree Data'!K50,"")</f>
        <v>571760.284637451</v>
      </c>
      <c s="72">
        <f>IF('[1]Leakage Tree Data'!L50&lt;&gt;"",'[1]Leakage Tree Data'!L50,"")</f>
        <v>3679394.31938171</v>
      </c>
      <c s="72">
        <f>IF('[1]Leakage Tree Data'!M50&lt;&gt;"",'[1]Leakage Tree Data'!M50,"")</f>
        <v>7295317.32318115</v>
      </c>
      <c s="72">
        <f>IF('[1]Leakage Tree Data'!N50&lt;&gt;"",'[1]Leakage Tree Data'!N50,"")</f>
        <v>3679394.31938171</v>
      </c>
      <c s="72">
        <f>IF('[1]Leakage Tree Data'!O50&lt;&gt;"",'[1]Leakage Tree Data'!O50,"")</f>
        <v>48.9083166431753</v>
      </c>
      <c s="72">
        <f>IF('[1]Leakage Tree Data'!P50&lt;&gt;"",'[1]Leakage Tree Data'!P50,"")</f>
        <v>509956.723426754</v>
      </c>
      <c s="72">
        <f>IF('[1]Leakage Tree Data'!Q50&lt;&gt;"",'[1]Leakage Tree Data'!Q50,"")</f>
      </c>
      <c s="72">
        <f>IF('[1]Leakage Tree Data'!R50&lt;&gt;"",'[1]Leakage Tree Data'!R50,"")</f>
        <v>1017625.85098267</v>
      </c>
      <c s="72">
        <f>IF('[1]Leakage Tree Data'!S50&lt;&gt;"",'[1]Leakage Tree Data'!S50,"")</f>
        <v>-10099.5990905762</v>
      </c>
      <c s="72">
        <f>IF('[1]Leakage Tree Data'!T50&lt;&gt;"",'[1]Leakage Tree Data'!T50,"")</f>
        <v>-0.022707568311487</v>
      </c>
      <c s="72">
        <f>IF('[1]Leakage Tree Data'!U50&lt;&gt;"",'[1]Leakage Tree Data'!U50,"")</f>
        <v>1027725.45007324</v>
      </c>
      <c s="72">
        <f>IF('[1]Leakage Tree Data'!V50&lt;&gt;"",'[1]Leakage Tree Data'!V50,"")</f>
        <v>0.022707568311489</v>
      </c>
      <c s="72">
        <f>IF('[1]Leakage Tree Data'!W50&lt;&gt;"",'[1]Leakage Tree Data'!W50,"")</f>
        <v>-1855949.2237854</v>
      </c>
      <c s="72">
        <f>IF('[1]Leakage Tree Data'!X50&lt;&gt;"",'[1]Leakage Tree Data'!X50,"")</f>
      </c>
      <c s="72">
        <f>IF('[1]Leakage Tree Data'!Y50&lt;&gt;"",'[1]Leakage Tree Data'!Y50,"")</f>
        <v>0.0283732036385231</v>
      </c>
      <c s="72">
        <f>IF('[1]Leakage Tree Data'!Z50&lt;&gt;"",'[1]Leakage Tree Data'!Z50,"")</f>
        <v>-35230.7742614746</v>
      </c>
      <c s="72">
        <f>IF('[1]Leakage Tree Data'!AA50&lt;&gt;"",'[1]Leakage Tree Data'!AA50,"")</f>
        <v>393237.020004272</v>
      </c>
      <c s="72">
        <f>IF('[1]Leakage Tree Data'!AB50&lt;&gt;"",'[1]Leakage Tree Data'!AB50,"")</f>
        <v>-336759.364456177</v>
      </c>
      <c s="72">
        <f>IF('[1]Leakage Tree Data'!AC50&lt;&gt;"",'[1]Leakage Tree Data'!AC50,"")</f>
        <v>393237.020004272</v>
      </c>
      <c s="72">
        <f>IF('[1]Leakage Tree Data'!AD50&lt;&gt;"",'[1]Leakage Tree Data'!AD50,"")</f>
        <v>-1.29358660459402</v>
      </c>
      <c s="72">
        <f>IF('[1]Leakage Tree Data'!AE50&lt;&gt;"",'[1]Leakage Tree Data'!AE50,"")</f>
      </c>
      <c s="73">
        <f t="shared" si="11"/>
      </c>
      <c s="73">
        <f t="shared" si="12"/>
      </c>
      <c s="73">
        <f t="shared" si="13"/>
      </c>
      <c s="73">
        <f t="shared" si="14"/>
      </c>
      <c s="74">
        <f t="shared" si="15"/>
      </c>
      <c s="74">
        <f t="shared" si="16"/>
      </c>
      <c s="69" t="str">
        <f t="shared" si="0"/>
        <v>Total US - Frys</v>
      </c>
      <c s="69" t="str">
        <f t="shared" si="1"/>
        <v>Total US - GroceryX</v>
      </c>
      <c s="77"/>
    </row>
    <row r="152" spans="1:141" ht="15">
      <c r="A1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152,$AL$8:$AL$15,1,FALSE))=TRUE,IF(AND(CV152=CW152,CV152&lt;&gt;"",DI$111&lt;&gt;"",DK152&lt;&gt;""),IF(CW$101="Y",DK152-IF(ISERROR(VLOOKUP(CV152,$CA$113:$DK$300,37,FALSE))=TRUE,0,IF(VLOOKUP(CV152,$CA$113:$DK$300,37,FALSE)="",0,VLOOKUP(CV152,$CA$113:$DK$300,37,FALSE))),DK152-IF(AND(CW$102="Y",CV152=$CW$111),DI$111,0)),""),"")</f>
      </c>
      <c s="76">
        <f>IF(ISERROR(VLOOKUP(CV152,$AL$8:$AL$15,1,FALSE))=TRUE,IF(CB152&lt;&gt;"",IF(CB152&gt;0,IF(Z$4&lt;&gt;"",MIN(4,RANK(CB152,$CB$111:$CB$300)),RANK(CB152,$CB$111:$CB$300)),""),""),"")</f>
      </c>
      <c s="75">
        <f>IF(ISERROR(VLOOKUP(CV152,$AL$8:$AL$15,1,FALSE))=TRUE,IF(AND(ISERROR(FIND("NeighMkt",$CX$102))=FALSE,LEFT($CW$111,10)="ALL OUTLET",$CA152&lt;&gt;"",DK152&lt;&gt;""),"",IF(AND($CV152&lt;&gt;$CW152,$CW152=CD$110),$DK152,"")),"")</f>
        <v>3777129.27478027</v>
      </c>
      <c s="76">
        <f>IF(ISERROR(VLOOKUP(CV152,$AL$8:$AL$15,1,FALSE))=TRUE,IF(CD152&lt;&gt;"",IF(CD152&gt;0,RANK(CD152,$CD$111:$CD$300),""),""),"")</f>
        <v>11</v>
      </c>
      <c s="75">
        <f>IF(ISERROR(VLOOKUP(CV152,$AL$8:$AL$15,1,FALSE))=TRUE,IF(AND(ISERROR(FIND("NeighMkt",$CX$102))=FALSE,LEFT($CW$111,10)="ALL OUTLET",$CA152&lt;&gt;"",DK152&lt;&gt;""),"",IF(AND($CV152&lt;&gt;$CW152,$CW152=CF$110),$DK152,"")),"")</f>
      </c>
      <c s="76">
        <f>IF(ISERROR(VLOOKUP(CV152,$AL$8:$AL$15,1,FALSE))=TRUE,IF(CF152&lt;&gt;"",IF(CF152&gt;0,RANK(CF152,$CF$111:$CF$300),""),""),"")</f>
      </c>
      <c s="75">
        <f>IF(ISERROR(VLOOKUP(CV152,$AL$8:$AL$15,1,FALSE))=TRUE,IF(AND(ISERROR(FIND("NeighMkt",$CX$102))=FALSE,LEFT($CW$111,10)="ALL OUTLET",$CA152&lt;&gt;"",DK152&lt;&gt;""),"",IF(AND($CV152&lt;&gt;$CW152,$CW152=CH$110),$DK152,"")),"")</f>
      </c>
      <c s="76">
        <f>IF(ISERROR(VLOOKUP(CV152,$AL$8:$AL$15,1,FALSE))=TRUE,IF(CH152&lt;&gt;"",IF(CH152&gt;0,RANK(CH152,$CH$111:$CH$300),""),""),"")</f>
      </c>
      <c s="75">
        <f>IF(ISERROR(VLOOKUP(CV152,$AL$8:$AL$15,1,FALSE))=TRUE,IF(AND(ISERROR(FIND("NeighMkt",$CX$102))=FALSE,LEFT($CW$111,10)="ALL OUTLET",$CA152&lt;&gt;"",DK152&lt;&gt;""),"",IF($Z$4="",IF(AND($CV152&lt;&gt;$CW152,$CW152=CJ$110),$DK152,""),IF(AND($CV152&lt;&gt;$CW152,$CW152&lt;&gt;CD$110,$CW152&lt;&gt;CF$110,$CW152&lt;&gt;CH$110,$CW152&lt;&gt;$CV$111),$DK152,""))),"")</f>
      </c>
      <c s="76">
        <f>IF(ISERROR(VLOOKUP(CV152,$AL$8:$AL$15,1,FALSE))=TRUE,IF(CJ152&lt;&gt;"",IF(CJ152&gt;0,RANK(CJ152,$CJ$111:$CJ$300),""),""),"")</f>
      </c>
      <c s="75">
        <f>IF(ISERROR(VLOOKUP(CV152,$AL$8:$AL$15,1,FALSE))=TRUE,IF(AND(CV152=CW152,CV152&lt;&gt;"",DJ152&lt;&gt;""),IF(AND(ISERROR(FIND("NeighMkt",$CX$102))=FALSE,LEFT($CW$111,10)="ALL OUTLET"),DJ152-IF(ISERROR(VLOOKUP(CV152,$CA$113:$DK$300,36,FALSE))=TRUE,0,IF(VLOOKUP(CV152,$CA$113:$DK$300,36,FALSE)="",0,VLOOKUP(CV152,$CA$113:$DK$300,36,FALSE))),DJ152),""),"")</f>
      </c>
      <c s="76">
        <f>IF(ISERROR(VLOOKUP(CV152,$AL$8:$AL$15,1,FALSE))=TRUE,IF(CL152&lt;&gt;"",IF(CL152&gt;0,IF($Z$4&lt;&gt;"",MIN(4,RANK(CL152,$CL$111:$CL$300)),RANK(CL152,$CL$111:$CL$300)),""),""),"")</f>
      </c>
      <c s="75">
        <f>IF(ISERROR(VLOOKUP(CV152,$AL$8:$AL$15,1,FALSE))=TRUE,IF(AND(ISERROR(FIND("NeighMkt",$CX$102))=FALSE,LEFT($CW$111,10)="ALL OUTLET",$CA152&lt;&gt;"",DJ152&lt;&gt;""),"",IF(AND($CV152&lt;&gt;$CW152,$CW152=CN$110),$DJ152,"")),"")</f>
        <v>8506426.90653992</v>
      </c>
      <c s="76">
        <f>IF(ISERROR(VLOOKUP(CV152,$AL$8:$AL$15,1,FALSE))=TRUE,IF(CN152&lt;&gt;"",IF(CN152&gt;0,RANK(CN152,$CN$111:$CN$300),""),""),"")</f>
        <v>16</v>
      </c>
      <c s="75">
        <f>IF(ISERROR(VLOOKUP(CV152,$AL$8:$AL$15,1,FALSE))=TRUE,IF(AND(ISERROR(FIND("NeighMkt",$CX$102))=FALSE,LEFT($CW$111,10)="ALL OUTLET",$CA152&lt;&gt;"",DJ152&lt;&gt;""),"",IF(AND($CV152&lt;&gt;$CW152,$CW152=CP$110),$DJ152,"")),"")</f>
      </c>
      <c s="76">
        <f>IF(ISERROR(VLOOKUP(CV152,$AL$8:$AL$15,1,FALSE))=TRUE,IF(CP152&lt;&gt;"",IF(CP152&gt;0,RANK(CP152,$CP$111:$CP$300),""),""),"")</f>
      </c>
      <c s="75">
        <f>IF(ISERROR(VLOOKUP(CV152,$AL$8:$AL$15,1,FALSE))=TRUE,IF(AND(ISERROR(FIND("NeighMkt",$CX$102))=FALSE,LEFT($CW$111,10)="ALL OUTLET",$CA152&lt;&gt;"",DJ152&lt;&gt;""),"",IF(AND($CV152&lt;&gt;$CW152,$CW152=CR$110),$DJ152,"")),"")</f>
      </c>
      <c s="76">
        <f>IF(ISERROR(VLOOKUP(CV152,$AL$8:$AL$15,1,FALSE))=TRUE,IF(CR152&lt;&gt;"",IF(CR152&gt;0,RANK(CR152,$CR$111:$CR$300),""),""),"")</f>
      </c>
      <c s="75">
        <f>IF(ISERROR(VLOOKUP(CV152,$AL$8:$AL$15,1,FALSE))=TRUE,IF(AND(ISERROR(FIND("NeighMkt",$CX$102))=FALSE,LEFT($CW$111,10)="ALL OUTLET",$CA152&lt;&gt;"",DJ152&lt;&gt;""),"",IF($Z$4="",IF(AND($CV152&lt;&gt;$CW152,$CW152=CT$110),$DJ152,""),IF(AND($CV152&lt;&gt;$CW152,$CW152&lt;&gt;CN$110,$CW152&lt;&gt;CP$110,$CW152&lt;&gt;CR$110,$CW152&lt;&gt;$CV$111),$DJ152,""))),"")</f>
      </c>
      <c s="76">
        <f>IF(ISERROR(VLOOKUP(CV152,$AL$8:$AL$15,1,FALSE))=TRUE,IF(CT152&lt;&gt;"",IF(CT152&gt;0,RANK(CT152,$CT$111:$CT$300),""),""),"")</f>
      </c>
      <c s="65" t="str">
        <f t="shared" si="2"/>
        <v>Giant Eagle</v>
      </c>
      <c s="65" t="str">
        <f t="shared" si="3"/>
        <v>GroceryX</v>
      </c>
      <c s="72" t="str">
        <f>IF('[1]Leakage Tree Data'!A51&lt;&gt;"",'[1]Leakage Tree Data'!A51,"")</f>
        <v>Total US - Giant Eagle</v>
      </c>
      <c s="72" t="str">
        <f>IF('[1]Leakage Tree Data'!B51&lt;&gt;"",'[1]Leakage Tree Data'!B51,"")</f>
        <v>Total US - GroceryX</v>
      </c>
      <c s="72">
        <f>IF('[1]Leakage Tree Data'!C51&lt;&gt;"",'[1]Leakage Tree Data'!C51,"")</f>
        <v>121171760.292236</v>
      </c>
      <c s="72">
        <f>IF('[1]Leakage Tree Data'!D51&lt;&gt;"",'[1]Leakage Tree Data'!D51,"")</f>
        <v>3484030.17138672</v>
      </c>
      <c s="72">
        <f>IF('[1]Leakage Tree Data'!E51&lt;&gt;"",'[1]Leakage Tree Data'!E51,"")</f>
        <v>2.87528229596079</v>
      </c>
      <c s="72">
        <f>IF('[1]Leakage Tree Data'!F51&lt;&gt;"",'[1]Leakage Tree Data'!F51,"")</f>
        <v>117687730.12085</v>
      </c>
      <c s="72">
        <f>IF('[1]Leakage Tree Data'!G51&lt;&gt;"",'[1]Leakage Tree Data'!G51,"")</f>
        <v>97.1247177040392</v>
      </c>
      <c s="72">
        <f>IF('[1]Leakage Tree Data'!H51&lt;&gt;"",'[1]Leakage Tree Data'!H51,"")</f>
        <v>61518209.9918823</v>
      </c>
      <c s="72" t="str">
        <f>IF('[1]Leakage Tree Data'!I51&lt;&gt;"",'[1]Leakage Tree Data'!I51,"")</f>
        <v>GroceryX</v>
      </c>
      <c s="72">
        <f>IF('[1]Leakage Tree Data'!J51&lt;&gt;"",'[1]Leakage Tree Data'!J51,"")</f>
        <v>98.7126607331539</v>
      </c>
      <c s="72">
        <f>IF('[1]Leakage Tree Data'!K51&lt;&gt;"",'[1]Leakage Tree Data'!K51,"")</f>
        <v>791948.073486328</v>
      </c>
      <c s="72">
        <f>IF('[1]Leakage Tree Data'!L51&lt;&gt;"",'[1]Leakage Tree Data'!L51,"")</f>
        <v>3777129.27478027</v>
      </c>
      <c s="72">
        <f>IF('[1]Leakage Tree Data'!M51&lt;&gt;"",'[1]Leakage Tree Data'!M51,"")</f>
        <v>8506426.90653992</v>
      </c>
      <c s="72">
        <f>IF('[1]Leakage Tree Data'!N51&lt;&gt;"",'[1]Leakage Tree Data'!N51,"")</f>
        <v>3777129.27478027</v>
      </c>
      <c s="72">
        <f>IF('[1]Leakage Tree Data'!O51&lt;&gt;"",'[1]Leakage Tree Data'!O51,"")</f>
        <v>42.6773804425814</v>
      </c>
      <c s="72">
        <f>IF('[1]Leakage Tree Data'!P51&lt;&gt;"",'[1]Leakage Tree Data'!P51,"")</f>
        <v>857502.123690399</v>
      </c>
      <c s="72">
        <f>IF('[1]Leakage Tree Data'!Q51&lt;&gt;"",'[1]Leakage Tree Data'!Q51,"")</f>
      </c>
      <c s="72">
        <f>IF('[1]Leakage Tree Data'!R51&lt;&gt;"",'[1]Leakage Tree Data'!R51,"")</f>
        <v>1017625.85098267</v>
      </c>
      <c s="72">
        <f>IF('[1]Leakage Tree Data'!S51&lt;&gt;"",'[1]Leakage Tree Data'!S51,"")</f>
        <v>-50286.655090332</v>
      </c>
      <c s="72">
        <f>IF('[1]Leakage Tree Data'!T51&lt;&gt;"",'[1]Leakage Tree Data'!T51,"")</f>
        <v>-0.0662035238260144</v>
      </c>
      <c s="72">
        <f>IF('[1]Leakage Tree Data'!U51&lt;&gt;"",'[1]Leakage Tree Data'!U51,"")</f>
        <v>1067912.506073</v>
      </c>
      <c s="72">
        <f>IF('[1]Leakage Tree Data'!V51&lt;&gt;"",'[1]Leakage Tree Data'!V51,"")</f>
        <v>0.0662035238260188</v>
      </c>
      <c s="72">
        <f>IF('[1]Leakage Tree Data'!W51&lt;&gt;"",'[1]Leakage Tree Data'!W51,"")</f>
        <v>-1855949.2237854</v>
      </c>
      <c s="72">
        <f>IF('[1]Leakage Tree Data'!X51&lt;&gt;"",'[1]Leakage Tree Data'!X51,"")</f>
      </c>
      <c s="72">
        <f>IF('[1]Leakage Tree Data'!Y51&lt;&gt;"",'[1]Leakage Tree Data'!Y51,"")</f>
        <v>-0.0137328719499124</v>
      </c>
      <c s="72">
        <f>IF('[1]Leakage Tree Data'!Z51&lt;&gt;"",'[1]Leakage Tree Data'!Z51,"")</f>
        <v>-15189.2709960938</v>
      </c>
      <c s="72">
        <f>IF('[1]Leakage Tree Data'!AA51&lt;&gt;"",'[1]Leakage Tree Data'!AA51,"")</f>
        <v>-888746.874603271</v>
      </c>
      <c s="72">
        <f>IF('[1]Leakage Tree Data'!AB51&lt;&gt;"",'[1]Leakage Tree Data'!AB51,"")</f>
        <v>-1060069.9075489</v>
      </c>
      <c s="72">
        <f>IF('[1]Leakage Tree Data'!AC51&lt;&gt;"",'[1]Leakage Tree Data'!AC51,"")</f>
        <v>-888746.874603271</v>
      </c>
      <c s="72">
        <f>IF('[1]Leakage Tree Data'!AD51&lt;&gt;"",'[1]Leakage Tree Data'!AD51,"")</f>
        <v>0.531658427880899</v>
      </c>
      <c s="72">
        <f>IF('[1]Leakage Tree Data'!AE51&lt;&gt;"",'[1]Leakage Tree Data'!AE51,"")</f>
      </c>
      <c s="73">
        <f t="shared" si="11"/>
      </c>
      <c s="73">
        <f t="shared" si="12"/>
      </c>
      <c s="73">
        <f t="shared" si="13"/>
      </c>
      <c s="73">
        <f t="shared" si="14"/>
      </c>
      <c s="74">
        <f t="shared" si="15"/>
      </c>
      <c s="74">
        <f t="shared" si="16"/>
      </c>
      <c s="69" t="str">
        <f t="shared" si="0"/>
        <v>Total US - Giant Eagle</v>
      </c>
      <c s="69" t="str">
        <f t="shared" si="1"/>
        <v>Total US - GroceryX</v>
      </c>
      <c s="77"/>
    </row>
    <row r="153" spans="1:141" ht="15">
      <c r="A1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153,$AL$8:$AL$15,1,FALSE))=TRUE,IF(AND(CV153=CW153,CV153&lt;&gt;"",DI$111&lt;&gt;"",DK153&lt;&gt;""),IF(CW$101="Y",DK153-IF(ISERROR(VLOOKUP(CV153,$CA$113:$DK$300,37,FALSE))=TRUE,0,IF(VLOOKUP(CV153,$CA$113:$DK$300,37,FALSE)="",0,VLOOKUP(CV153,$CA$113:$DK$300,37,FALSE))),DK153-IF(AND(CW$102="Y",CV153=$CW$111),DI$111,0)),""),"")</f>
      </c>
      <c s="76">
        <f>IF(ISERROR(VLOOKUP(CV153,$AL$8:$AL$15,1,FALSE))=TRUE,IF(CB153&lt;&gt;"",IF(CB153&gt;0,IF(Z$4&lt;&gt;"",MIN(4,RANK(CB153,$CB$111:$CB$300)),RANK(CB153,$CB$111:$CB$300)),""),""),"")</f>
      </c>
      <c s="75">
        <f>IF(ISERROR(VLOOKUP(CV153,$AL$8:$AL$15,1,FALSE))=TRUE,IF(AND(ISERROR(FIND("NeighMkt",$CX$102))=FALSE,LEFT($CW$111,10)="ALL OUTLET",$CA153&lt;&gt;"",DK153&lt;&gt;""),"",IF(AND($CV153&lt;&gt;$CW153,$CW153=CD$110),$DK153,"")),"")</f>
        <v>1625432.94543839</v>
      </c>
      <c s="76">
        <f>IF(ISERROR(VLOOKUP(CV153,$AL$8:$AL$15,1,FALSE))=TRUE,IF(CD153&lt;&gt;"",IF(CD153&gt;0,RANK(CD153,$CD$111:$CD$300),""),""),"")</f>
        <v>28</v>
      </c>
      <c s="75">
        <f>IF(ISERROR(VLOOKUP(CV153,$AL$8:$AL$15,1,FALSE))=TRUE,IF(AND(ISERROR(FIND("NeighMkt",$CX$102))=FALSE,LEFT($CW$111,10)="ALL OUTLET",$CA153&lt;&gt;"",DK153&lt;&gt;""),"",IF(AND($CV153&lt;&gt;$CW153,$CW153=CF$110),$DK153,"")),"")</f>
      </c>
      <c s="76">
        <f>IF(ISERROR(VLOOKUP(CV153,$AL$8:$AL$15,1,FALSE))=TRUE,IF(CF153&lt;&gt;"",IF(CF153&gt;0,RANK(CF153,$CF$111:$CF$300),""),""),"")</f>
      </c>
      <c s="75">
        <f>IF(ISERROR(VLOOKUP(CV153,$AL$8:$AL$15,1,FALSE))=TRUE,IF(AND(ISERROR(FIND("NeighMkt",$CX$102))=FALSE,LEFT($CW$111,10)="ALL OUTLET",$CA153&lt;&gt;"",DK153&lt;&gt;""),"",IF(AND($CV153&lt;&gt;$CW153,$CW153=CH$110),$DK153,"")),"")</f>
      </c>
      <c s="76">
        <f>IF(ISERROR(VLOOKUP(CV153,$AL$8:$AL$15,1,FALSE))=TRUE,IF(CH153&lt;&gt;"",IF(CH153&gt;0,RANK(CH153,$CH$111:$CH$300),""),""),"")</f>
      </c>
      <c s="75">
        <f>IF(ISERROR(VLOOKUP(CV153,$AL$8:$AL$15,1,FALSE))=TRUE,IF(AND(ISERROR(FIND("NeighMkt",$CX$102))=FALSE,LEFT($CW$111,10)="ALL OUTLET",$CA153&lt;&gt;"",DK153&lt;&gt;""),"",IF($Z$4="",IF(AND($CV153&lt;&gt;$CW153,$CW153=CJ$110),$DK153,""),IF(AND($CV153&lt;&gt;$CW153,$CW153&lt;&gt;CD$110,$CW153&lt;&gt;CF$110,$CW153&lt;&gt;CH$110,$CW153&lt;&gt;$CV$111),$DK153,""))),"")</f>
      </c>
      <c s="76">
        <f>IF(ISERROR(VLOOKUP(CV153,$AL$8:$AL$15,1,FALSE))=TRUE,IF(CJ153&lt;&gt;"",IF(CJ153&gt;0,RANK(CJ153,$CJ$111:$CJ$300),""),""),"")</f>
      </c>
      <c s="75">
        <f>IF(ISERROR(VLOOKUP(CV153,$AL$8:$AL$15,1,FALSE))=TRUE,IF(AND(CV153=CW153,CV153&lt;&gt;"",DJ153&lt;&gt;""),IF(AND(ISERROR(FIND("NeighMkt",$CX$102))=FALSE,LEFT($CW$111,10)="ALL OUTLET"),DJ153-IF(ISERROR(VLOOKUP(CV153,$CA$113:$DK$300,36,FALSE))=TRUE,0,IF(VLOOKUP(CV153,$CA$113:$DK$300,36,FALSE)="",0,VLOOKUP(CV153,$CA$113:$DK$300,36,FALSE))),DJ153),""),"")</f>
      </c>
      <c s="76">
        <f>IF(ISERROR(VLOOKUP(CV153,$AL$8:$AL$15,1,FALSE))=TRUE,IF(CL153&lt;&gt;"",IF(CL153&gt;0,IF($Z$4&lt;&gt;"",MIN(4,RANK(CL153,$CL$111:$CL$300)),RANK(CL153,$CL$111:$CL$300)),""),""),"")</f>
      </c>
      <c s="75">
        <f>IF(ISERROR(VLOOKUP(CV153,$AL$8:$AL$15,1,FALSE))=TRUE,IF(AND(ISERROR(FIND("NeighMkt",$CX$102))=FALSE,LEFT($CW$111,10)="ALL OUTLET",$CA153&lt;&gt;"",DJ153&lt;&gt;""),"",IF(AND($CV153&lt;&gt;$CW153,$CW153=CN$110),$DJ153,"")),"")</f>
        <v>5089870.39025879</v>
      </c>
      <c s="76">
        <f>IF(ISERROR(VLOOKUP(CV153,$AL$8:$AL$15,1,FALSE))=TRUE,IF(CN153&lt;&gt;"",IF(CN153&gt;0,RANK(CN153,$CN$111:$CN$300),""),""),"")</f>
        <v>30</v>
      </c>
      <c s="75">
        <f>IF(ISERROR(VLOOKUP(CV153,$AL$8:$AL$15,1,FALSE))=TRUE,IF(AND(ISERROR(FIND("NeighMkt",$CX$102))=FALSE,LEFT($CW$111,10)="ALL OUTLET",$CA153&lt;&gt;"",DJ153&lt;&gt;""),"",IF(AND($CV153&lt;&gt;$CW153,$CW153=CP$110),$DJ153,"")),"")</f>
      </c>
      <c s="76">
        <f>IF(ISERROR(VLOOKUP(CV153,$AL$8:$AL$15,1,FALSE))=TRUE,IF(CP153&lt;&gt;"",IF(CP153&gt;0,RANK(CP153,$CP$111:$CP$300),""),""),"")</f>
      </c>
      <c s="75">
        <f>IF(ISERROR(VLOOKUP(CV153,$AL$8:$AL$15,1,FALSE))=TRUE,IF(AND(ISERROR(FIND("NeighMkt",$CX$102))=FALSE,LEFT($CW$111,10)="ALL OUTLET",$CA153&lt;&gt;"",DJ153&lt;&gt;""),"",IF(AND($CV153&lt;&gt;$CW153,$CW153=CR$110),$DJ153,"")),"")</f>
      </c>
      <c s="76">
        <f>IF(ISERROR(VLOOKUP(CV153,$AL$8:$AL$15,1,FALSE))=TRUE,IF(CR153&lt;&gt;"",IF(CR153&gt;0,RANK(CR153,$CR$111:$CR$300),""),""),"")</f>
      </c>
      <c s="75">
        <f>IF(ISERROR(VLOOKUP(CV153,$AL$8:$AL$15,1,FALSE))=TRUE,IF(AND(ISERROR(FIND("NeighMkt",$CX$102))=FALSE,LEFT($CW$111,10)="ALL OUTLET",$CA153&lt;&gt;"",DJ153&lt;&gt;""),"",IF($Z$4="",IF(AND($CV153&lt;&gt;$CW153,$CW153=CT$110),$DJ153,""),IF(AND($CV153&lt;&gt;$CW153,$CW153&lt;&gt;CN$110,$CW153&lt;&gt;CP$110,$CW153&lt;&gt;CR$110,$CW153&lt;&gt;$CV$111),$DJ153,""))),"")</f>
      </c>
      <c s="76">
        <f>IF(ISERROR(VLOOKUP(CV153,$AL$8:$AL$15,1,FALSE))=TRUE,IF(CT153&lt;&gt;"",IF(CT153&gt;0,RANK(CT153,$CT$111:$CT$300),""),""),"")</f>
      </c>
      <c s="65" t="str">
        <f t="shared" si="2"/>
        <v>Giant Food</v>
      </c>
      <c s="65" t="str">
        <f t="shared" si="3"/>
        <v>GroceryX</v>
      </c>
      <c s="72" t="str">
        <f>IF('[1]Leakage Tree Data'!A52&lt;&gt;"",'[1]Leakage Tree Data'!A52,"")</f>
        <v>Total US - Giant Food</v>
      </c>
      <c s="72" t="str">
        <f>IF('[1]Leakage Tree Data'!B52&lt;&gt;"",'[1]Leakage Tree Data'!B52,"")</f>
        <v>Total US - GroceryX</v>
      </c>
      <c s="72">
        <f>IF('[1]Leakage Tree Data'!C52&lt;&gt;"",'[1]Leakage Tree Data'!C52,"")</f>
        <v>121171760.292236</v>
      </c>
      <c s="72">
        <f>IF('[1]Leakage Tree Data'!D52&lt;&gt;"",'[1]Leakage Tree Data'!D52,"")</f>
        <v>2725806.11553955</v>
      </c>
      <c s="72">
        <f>IF('[1]Leakage Tree Data'!E52&lt;&gt;"",'[1]Leakage Tree Data'!E52,"")</f>
        <v>2.24953909142327</v>
      </c>
      <c s="72">
        <f>IF('[1]Leakage Tree Data'!F52&lt;&gt;"",'[1]Leakage Tree Data'!F52,"")</f>
        <v>118445954.176697</v>
      </c>
      <c s="72">
        <f>IF('[1]Leakage Tree Data'!G52&lt;&gt;"",'[1]Leakage Tree Data'!G52,"")</f>
        <v>97.7504609085767</v>
      </c>
      <c s="72">
        <f>IF('[1]Leakage Tree Data'!H52&lt;&gt;"",'[1]Leakage Tree Data'!H52,"")</f>
        <v>61518209.9918823</v>
      </c>
      <c s="72" t="str">
        <f>IF('[1]Leakage Tree Data'!I52&lt;&gt;"",'[1]Leakage Tree Data'!I52,"")</f>
        <v>GroceryX</v>
      </c>
      <c s="72">
        <f>IF('[1]Leakage Tree Data'!J52&lt;&gt;"",'[1]Leakage Tree Data'!J52,"")</f>
        <v>99.0953311751817</v>
      </c>
      <c s="72">
        <f>IF('[1]Leakage Tree Data'!K52&lt;&gt;"",'[1]Leakage Tree Data'!K52,"")</f>
        <v>556536.067382813</v>
      </c>
      <c s="72">
        <f>IF('[1]Leakage Tree Data'!L52&lt;&gt;"",'[1]Leakage Tree Data'!L52,"")</f>
        <v>1625432.94543839</v>
      </c>
      <c s="72">
        <f>IF('[1]Leakage Tree Data'!M52&lt;&gt;"",'[1]Leakage Tree Data'!M52,"")</f>
        <v>5089870.39025879</v>
      </c>
      <c s="72">
        <f>IF('[1]Leakage Tree Data'!N52&lt;&gt;"",'[1]Leakage Tree Data'!N52,"")</f>
        <v>1625432.94543839</v>
      </c>
      <c s="72">
        <f>IF('[1]Leakage Tree Data'!O52&lt;&gt;"",'[1]Leakage Tree Data'!O52,"")</f>
        <v>32.6468779674364</v>
      </c>
      <c s="72">
        <f>IF('[1]Leakage Tree Data'!P52&lt;&gt;"",'[1]Leakage Tree Data'!P52,"")</f>
        <v>507499.395550292</v>
      </c>
      <c s="72">
        <f>IF('[1]Leakage Tree Data'!Q52&lt;&gt;"",'[1]Leakage Tree Data'!Q52,"")</f>
      </c>
      <c s="72">
        <f>IF('[1]Leakage Tree Data'!R52&lt;&gt;"",'[1]Leakage Tree Data'!R52,"")</f>
        <v>1017625.85098267</v>
      </c>
      <c s="72">
        <f>IF('[1]Leakage Tree Data'!S52&lt;&gt;"",'[1]Leakage Tree Data'!S52,"")</f>
        <v>61501.5859985352</v>
      </c>
      <c s="72">
        <f>IF('[1]Leakage Tree Data'!T52&lt;&gt;"",'[1]Leakage Tree Data'!T52,"")</f>
        <v>0.0321334716077777</v>
      </c>
      <c s="72">
        <f>IF('[1]Leakage Tree Data'!U52&lt;&gt;"",'[1]Leakage Tree Data'!U52,"")</f>
        <v>956124.264984131</v>
      </c>
      <c s="72">
        <f>IF('[1]Leakage Tree Data'!V52&lt;&gt;"",'[1]Leakage Tree Data'!V52,"")</f>
        <v>-0.0321334716077644</v>
      </c>
      <c s="72">
        <f>IF('[1]Leakage Tree Data'!W52&lt;&gt;"",'[1]Leakage Tree Data'!W52,"")</f>
        <v>-1855949.2237854</v>
      </c>
      <c s="72">
        <f>IF('[1]Leakage Tree Data'!X52&lt;&gt;"",'[1]Leakage Tree Data'!X52,"")</f>
      </c>
      <c s="72">
        <f>IF('[1]Leakage Tree Data'!Y52&lt;&gt;"",'[1]Leakage Tree Data'!Y52,"")</f>
        <v>0.0570556431278675</v>
      </c>
      <c s="72">
        <f>IF('[1]Leakage Tree Data'!Z52&lt;&gt;"",'[1]Leakage Tree Data'!Z52,"")</f>
        <v>-52948.7281494141</v>
      </c>
      <c s="72">
        <f>IF('[1]Leakage Tree Data'!AA52&lt;&gt;"",'[1]Leakage Tree Data'!AA52,"")</f>
        <v>-927662.196148872</v>
      </c>
      <c s="72">
        <f>IF('[1]Leakage Tree Data'!AB52&lt;&gt;"",'[1]Leakage Tree Data'!AB52,"")</f>
        <v>-1231090.44802856</v>
      </c>
      <c s="72">
        <f>IF('[1]Leakage Tree Data'!AC52&lt;&gt;"",'[1]Leakage Tree Data'!AC52,"")</f>
        <v>-927662.196148872</v>
      </c>
      <c s="72">
        <f>IF('[1]Leakage Tree Data'!AD52&lt;&gt;"",'[1]Leakage Tree Data'!AD52,"")</f>
        <v>-2.00494538790073</v>
      </c>
      <c s="72">
        <f>IF('[1]Leakage Tree Data'!AE52&lt;&gt;"",'[1]Leakage Tree Data'!AE52,"")</f>
      </c>
      <c s="73">
        <f t="shared" si="11"/>
      </c>
      <c s="73">
        <f t="shared" si="12"/>
      </c>
      <c s="73">
        <f t="shared" si="13"/>
      </c>
      <c s="73">
        <f t="shared" si="14"/>
      </c>
      <c s="74">
        <f t="shared" si="15"/>
      </c>
      <c s="74">
        <f t="shared" si="16"/>
      </c>
      <c s="69" t="str">
        <f t="shared" si="0"/>
        <v>Total US - Giant Food</v>
      </c>
      <c s="69" t="str">
        <f t="shared" si="1"/>
        <v>Total US - GroceryX</v>
      </c>
      <c s="77"/>
    </row>
    <row r="154" spans="1:141" ht="15">
      <c r="A1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154,$AL$8:$AL$15,1,FALSE))=TRUE,IF(AND(CV154=CW154,CV154&lt;&gt;"",DI$111&lt;&gt;"",DK154&lt;&gt;""),IF(CW$101="Y",DK154-IF(ISERROR(VLOOKUP(CV154,$CA$113:$DK$300,37,FALSE))=TRUE,0,IF(VLOOKUP(CV154,$CA$113:$DK$300,37,FALSE)="",0,VLOOKUP(CV154,$CA$113:$DK$300,37,FALSE))),DK154-IF(AND(CW$102="Y",CV154=$CW$111),DI$111,0)),""),"")</f>
      </c>
      <c s="76">
        <f>IF(ISERROR(VLOOKUP(CV154,$AL$8:$AL$15,1,FALSE))=TRUE,IF(CB154&lt;&gt;"",IF(CB154&gt;0,IF(Z$4&lt;&gt;"",MIN(4,RANK(CB154,$CB$111:$CB$300)),RANK(CB154,$CB$111:$CB$300)),""),""),"")</f>
      </c>
      <c s="75">
        <f>IF(ISERROR(VLOOKUP(CV154,$AL$8:$AL$15,1,FALSE))=TRUE,IF(AND(ISERROR(FIND("NeighMkt",$CX$102))=FALSE,LEFT($CW$111,10)="ALL OUTLET",$CA154&lt;&gt;"",DK154&lt;&gt;""),"",IF(AND($CV154&lt;&gt;$CW154,$CW154=CD$110),$DK154,"")),"")</f>
        <v>3217027.49414063</v>
      </c>
      <c s="76">
        <f>IF(ISERROR(VLOOKUP(CV154,$AL$8:$AL$15,1,FALSE))=TRUE,IF(CD154&lt;&gt;"",IF(CD154&gt;0,RANK(CD154,$CD$111:$CD$300),""),""),"")</f>
        <v>16</v>
      </c>
      <c s="75">
        <f>IF(ISERROR(VLOOKUP(CV154,$AL$8:$AL$15,1,FALSE))=TRUE,IF(AND(ISERROR(FIND("NeighMkt",$CX$102))=FALSE,LEFT($CW$111,10)="ALL OUTLET",$CA154&lt;&gt;"",DK154&lt;&gt;""),"",IF(AND($CV154&lt;&gt;$CW154,$CW154=CF$110),$DK154,"")),"")</f>
      </c>
      <c s="76">
        <f>IF(ISERROR(VLOOKUP(CV154,$AL$8:$AL$15,1,FALSE))=TRUE,IF(CF154&lt;&gt;"",IF(CF154&gt;0,RANK(CF154,$CF$111:$CF$300),""),""),"")</f>
      </c>
      <c s="75">
        <f>IF(ISERROR(VLOOKUP(CV154,$AL$8:$AL$15,1,FALSE))=TRUE,IF(AND(ISERROR(FIND("NeighMkt",$CX$102))=FALSE,LEFT($CW$111,10)="ALL OUTLET",$CA154&lt;&gt;"",DK154&lt;&gt;""),"",IF(AND($CV154&lt;&gt;$CW154,$CW154=CH$110),$DK154,"")),"")</f>
      </c>
      <c s="76">
        <f>IF(ISERROR(VLOOKUP(CV154,$AL$8:$AL$15,1,FALSE))=TRUE,IF(CH154&lt;&gt;"",IF(CH154&gt;0,RANK(CH154,$CH$111:$CH$300),""),""),"")</f>
      </c>
      <c s="75">
        <f>IF(ISERROR(VLOOKUP(CV154,$AL$8:$AL$15,1,FALSE))=TRUE,IF(AND(ISERROR(FIND("NeighMkt",$CX$102))=FALSE,LEFT($CW$111,10)="ALL OUTLET",$CA154&lt;&gt;"",DK154&lt;&gt;""),"",IF($Z$4="",IF(AND($CV154&lt;&gt;$CW154,$CW154=CJ$110),$DK154,""),IF(AND($CV154&lt;&gt;$CW154,$CW154&lt;&gt;CD$110,$CW154&lt;&gt;CF$110,$CW154&lt;&gt;CH$110,$CW154&lt;&gt;$CV$111),$DK154,""))),"")</f>
      </c>
      <c s="76">
        <f>IF(ISERROR(VLOOKUP(CV154,$AL$8:$AL$15,1,FALSE))=TRUE,IF(CJ154&lt;&gt;"",IF(CJ154&gt;0,RANK(CJ154,$CJ$111:$CJ$300),""),""),"")</f>
      </c>
      <c s="75">
        <f>IF(ISERROR(VLOOKUP(CV154,$AL$8:$AL$15,1,FALSE))=TRUE,IF(AND(CV154=CW154,CV154&lt;&gt;"",DJ154&lt;&gt;""),IF(AND(ISERROR(FIND("NeighMkt",$CX$102))=FALSE,LEFT($CW$111,10)="ALL OUTLET"),DJ154-IF(ISERROR(VLOOKUP(CV154,$CA$113:$DK$300,36,FALSE))=TRUE,0,IF(VLOOKUP(CV154,$CA$113:$DK$300,36,FALSE)="",0,VLOOKUP(CV154,$CA$113:$DK$300,36,FALSE))),DJ154),""),"")</f>
      </c>
      <c s="76">
        <f>IF(ISERROR(VLOOKUP(CV154,$AL$8:$AL$15,1,FALSE))=TRUE,IF(CL154&lt;&gt;"",IF(CL154&gt;0,IF($Z$4&lt;&gt;"",MIN(4,RANK(CL154,$CL$111:$CL$300)),RANK(CL154,$CL$111:$CL$300)),""),""),"")</f>
      </c>
      <c s="75">
        <f>IF(ISERROR(VLOOKUP(CV154,$AL$8:$AL$15,1,FALSE))=TRUE,IF(AND(ISERROR(FIND("NeighMkt",$CX$102))=FALSE,LEFT($CW$111,10)="ALL OUTLET",$CA154&lt;&gt;"",DJ154&lt;&gt;""),"",IF(AND($CV154&lt;&gt;$CW154,$CW154=CN$110),$DJ154,"")),"")</f>
        <v>9947258.50901031</v>
      </c>
      <c s="76">
        <f>IF(ISERROR(VLOOKUP(CV154,$AL$8:$AL$15,1,FALSE))=TRUE,IF(CN154&lt;&gt;"",IF(CN154&gt;0,RANK(CN154,$CN$111:$CN$300),""),""),"")</f>
        <v>11</v>
      </c>
      <c s="75">
        <f>IF(ISERROR(VLOOKUP(CV154,$AL$8:$AL$15,1,FALSE))=TRUE,IF(AND(ISERROR(FIND("NeighMkt",$CX$102))=FALSE,LEFT($CW$111,10)="ALL OUTLET",$CA154&lt;&gt;"",DJ154&lt;&gt;""),"",IF(AND($CV154&lt;&gt;$CW154,$CW154=CP$110),$DJ154,"")),"")</f>
      </c>
      <c s="76">
        <f>IF(ISERROR(VLOOKUP(CV154,$AL$8:$AL$15,1,FALSE))=TRUE,IF(CP154&lt;&gt;"",IF(CP154&gt;0,RANK(CP154,$CP$111:$CP$300),""),""),"")</f>
      </c>
      <c s="75">
        <f>IF(ISERROR(VLOOKUP(CV154,$AL$8:$AL$15,1,FALSE))=TRUE,IF(AND(ISERROR(FIND("NeighMkt",$CX$102))=FALSE,LEFT($CW$111,10)="ALL OUTLET",$CA154&lt;&gt;"",DJ154&lt;&gt;""),"",IF(AND($CV154&lt;&gt;$CW154,$CW154=CR$110),$DJ154,"")),"")</f>
      </c>
      <c s="76">
        <f>IF(ISERROR(VLOOKUP(CV154,$AL$8:$AL$15,1,FALSE))=TRUE,IF(CR154&lt;&gt;"",IF(CR154&gt;0,RANK(CR154,$CR$111:$CR$300),""),""),"")</f>
      </c>
      <c s="75">
        <f>IF(ISERROR(VLOOKUP(CV154,$AL$8:$AL$15,1,FALSE))=TRUE,IF(AND(ISERROR(FIND("NeighMkt",$CX$102))=FALSE,LEFT($CW$111,10)="ALL OUTLET",$CA154&lt;&gt;"",DJ154&lt;&gt;""),"",IF($Z$4="",IF(AND($CV154&lt;&gt;$CW154,$CW154=CT$110),$DJ154,""),IF(AND($CV154&lt;&gt;$CW154,$CW154&lt;&gt;CN$110,$CW154&lt;&gt;CP$110,$CW154&lt;&gt;CR$110,$CW154&lt;&gt;$CV$111),$DJ154,""))),"")</f>
      </c>
      <c s="76">
        <f>IF(ISERROR(VLOOKUP(CV154,$AL$8:$AL$15,1,FALSE))=TRUE,IF(CT154&lt;&gt;"",IF(CT154&gt;0,RANK(CT154,$CT$111:$CT$300),""),""),"")</f>
      </c>
      <c s="65" t="str">
        <f t="shared" si="2"/>
        <v>Giant Foods</v>
      </c>
      <c s="65" t="str">
        <f t="shared" si="3"/>
        <v>GroceryX</v>
      </c>
      <c s="72" t="str">
        <f>IF('[1]Leakage Tree Data'!A53&lt;&gt;"",'[1]Leakage Tree Data'!A53,"")</f>
        <v>Total US - Giant Foods</v>
      </c>
      <c s="72" t="str">
        <f>IF('[1]Leakage Tree Data'!B53&lt;&gt;"",'[1]Leakage Tree Data'!B53,"")</f>
        <v>Total US - GroceryX</v>
      </c>
      <c s="72">
        <f>IF('[1]Leakage Tree Data'!C53&lt;&gt;"",'[1]Leakage Tree Data'!C53,"")</f>
        <v>121171760.292236</v>
      </c>
      <c s="72">
        <f>IF('[1]Leakage Tree Data'!D53&lt;&gt;"",'[1]Leakage Tree Data'!D53,"")</f>
        <v>2505863.85321045</v>
      </c>
      <c s="72">
        <f>IF('[1]Leakage Tree Data'!E53&lt;&gt;"",'[1]Leakage Tree Data'!E53,"")</f>
        <v>2.06802628530519</v>
      </c>
      <c s="72">
        <f>IF('[1]Leakage Tree Data'!F53&lt;&gt;"",'[1]Leakage Tree Data'!F53,"")</f>
        <v>118665896.439026</v>
      </c>
      <c s="72">
        <f>IF('[1]Leakage Tree Data'!G53&lt;&gt;"",'[1]Leakage Tree Data'!G53,"")</f>
        <v>97.9319737146948</v>
      </c>
      <c s="72">
        <f>IF('[1]Leakage Tree Data'!H53&lt;&gt;"",'[1]Leakage Tree Data'!H53,"")</f>
        <v>61518209.9918823</v>
      </c>
      <c s="72" t="str">
        <f>IF('[1]Leakage Tree Data'!I53&lt;&gt;"",'[1]Leakage Tree Data'!I53,"")</f>
        <v>GroceryX</v>
      </c>
      <c s="72">
        <f>IF('[1]Leakage Tree Data'!J53&lt;&gt;"",'[1]Leakage Tree Data'!J53,"")</f>
        <v>98.9211454340388</v>
      </c>
      <c s="72">
        <f>IF('[1]Leakage Tree Data'!K53&lt;&gt;"",'[1]Leakage Tree Data'!K53,"")</f>
        <v>663692.01739502</v>
      </c>
      <c s="72">
        <f>IF('[1]Leakage Tree Data'!L53&lt;&gt;"",'[1]Leakage Tree Data'!L53,"")</f>
        <v>3217027.49414063</v>
      </c>
      <c s="72">
        <f>IF('[1]Leakage Tree Data'!M53&lt;&gt;"",'[1]Leakage Tree Data'!M53,"")</f>
        <v>9947258.50901031</v>
      </c>
      <c s="72">
        <f>IF('[1]Leakage Tree Data'!N53&lt;&gt;"",'[1]Leakage Tree Data'!N53,"")</f>
        <v>3217027.49414063</v>
      </c>
      <c s="72">
        <f>IF('[1]Leakage Tree Data'!O53&lt;&gt;"",'[1]Leakage Tree Data'!O53,"")</f>
        <v>48.4130519606612</v>
      </c>
      <c s="72">
        <f>IF('[1]Leakage Tree Data'!P53&lt;&gt;"",'[1]Leakage Tree Data'!P53,"")</f>
        <v>630006.167999049</v>
      </c>
      <c s="72">
        <f>IF('[1]Leakage Tree Data'!Q53&lt;&gt;"",'[1]Leakage Tree Data'!Q53,"")</f>
      </c>
      <c s="72">
        <f>IF('[1]Leakage Tree Data'!R53&lt;&gt;"",'[1]Leakage Tree Data'!R53,"")</f>
        <v>1017625.85098267</v>
      </c>
      <c s="72">
        <f>IF('[1]Leakage Tree Data'!S53&lt;&gt;"",'[1]Leakage Tree Data'!S53,"")</f>
        <v>-50387.8199462891</v>
      </c>
      <c s="72">
        <f>IF('[1]Leakage Tree Data'!T53&lt;&gt;"",'[1]Leakage Tree Data'!T53,"")</f>
        <v>-0.0594507965646378</v>
      </c>
      <c s="72">
        <f>IF('[1]Leakage Tree Data'!U53&lt;&gt;"",'[1]Leakage Tree Data'!U53,"")</f>
        <v>1068013.67092896</v>
      </c>
      <c s="72">
        <f>IF('[1]Leakage Tree Data'!V53&lt;&gt;"",'[1]Leakage Tree Data'!V53,"")</f>
        <v>0.0594507965646329</v>
      </c>
      <c s="72">
        <f>IF('[1]Leakage Tree Data'!W53&lt;&gt;"",'[1]Leakage Tree Data'!W53,"")</f>
        <v>-1855949.2237854</v>
      </c>
      <c s="72">
        <f>IF('[1]Leakage Tree Data'!X53&lt;&gt;"",'[1]Leakage Tree Data'!X53,"")</f>
      </c>
      <c s="72">
        <f>IF('[1]Leakage Tree Data'!Y53&lt;&gt;"",'[1]Leakage Tree Data'!Y53,"")</f>
        <v>0.0567700413866561</v>
      </c>
      <c s="72">
        <f>IF('[1]Leakage Tree Data'!Z53&lt;&gt;"",'[1]Leakage Tree Data'!Z53,"")</f>
        <v>-56000.5293579102</v>
      </c>
      <c s="72">
        <f>IF('[1]Leakage Tree Data'!AA53&lt;&gt;"",'[1]Leakage Tree Data'!AA53,"")</f>
        <v>-192516.178344727</v>
      </c>
      <c s="72">
        <f>IF('[1]Leakage Tree Data'!AB53&lt;&gt;"",'[1]Leakage Tree Data'!AB53,"")</f>
        <v>-2719272.03514862</v>
      </c>
      <c s="72">
        <f>IF('[1]Leakage Tree Data'!AC53&lt;&gt;"",'[1]Leakage Tree Data'!AC53,"")</f>
        <v>-192516.178344727</v>
      </c>
      <c s="72">
        <f>IF('[1]Leakage Tree Data'!AD53&lt;&gt;"",'[1]Leakage Tree Data'!AD53,"")</f>
        <v>-1.89220383277169</v>
      </c>
      <c s="72">
        <f>IF('[1]Leakage Tree Data'!AE53&lt;&gt;"",'[1]Leakage Tree Data'!AE53,"")</f>
      </c>
      <c s="73">
        <f t="shared" si="11"/>
      </c>
      <c s="73">
        <f t="shared" si="12"/>
      </c>
      <c s="73">
        <f t="shared" si="13"/>
      </c>
      <c s="73">
        <f t="shared" si="14"/>
      </c>
      <c s="74">
        <f t="shared" si="15"/>
      </c>
      <c s="74">
        <f t="shared" si="16"/>
      </c>
      <c s="69" t="str">
        <f t="shared" si="0"/>
        <v>Total US - Giant Foods</v>
      </c>
      <c s="69" t="str">
        <f t="shared" si="1"/>
        <v>Total US - GroceryX</v>
      </c>
      <c s="77"/>
    </row>
    <row r="155" spans="1:141" ht="15">
      <c r="A1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155,$AL$8:$AL$15,1,FALSE))=TRUE,IF(AND(CV155=CW155,CV155&lt;&gt;"",DI$111&lt;&gt;"",DK155&lt;&gt;""),IF(CW$101="Y",DK155-IF(ISERROR(VLOOKUP(CV155,$CA$113:$DK$300,37,FALSE))=TRUE,0,IF(VLOOKUP(CV155,$CA$113:$DK$300,37,FALSE)="",0,VLOOKUP(CV155,$CA$113:$DK$300,37,FALSE))),DK155-IF(AND(CW$102="Y",CV155=$CW$111),DI$111,0)),""),"")</f>
      </c>
      <c s="76">
        <f>IF(ISERROR(VLOOKUP(CV155,$AL$8:$AL$15,1,FALSE))=TRUE,IF(CB155&lt;&gt;"",IF(CB155&gt;0,IF(Z$4&lt;&gt;"",MIN(4,RANK(CB155,$CB$111:$CB$300)),RANK(CB155,$CB$111:$CB$300)),""),""),"")</f>
      </c>
      <c s="75">
        <f>IF(ISERROR(VLOOKUP(CV155,$AL$8:$AL$15,1,FALSE))=TRUE,IF(AND(ISERROR(FIND("NeighMkt",$CX$102))=FALSE,LEFT($CW$111,10)="ALL OUTLET",$CA155&lt;&gt;"",DK155&lt;&gt;""),"",IF(AND($CV155&lt;&gt;$CW155,$CW155=CD$110),$DK155,"")),"")</f>
        <v>1012552.07986069</v>
      </c>
      <c s="76">
        <f>IF(ISERROR(VLOOKUP(CV155,$AL$8:$AL$15,1,FALSE))=TRUE,IF(CD155&lt;&gt;"",IF(CD155&gt;0,RANK(CD155,$CD$111:$CD$300),""),""),"")</f>
        <v>32</v>
      </c>
      <c s="75">
        <f>IF(ISERROR(VLOOKUP(CV155,$AL$8:$AL$15,1,FALSE))=TRUE,IF(AND(ISERROR(FIND("NeighMkt",$CX$102))=FALSE,LEFT($CW$111,10)="ALL OUTLET",$CA155&lt;&gt;"",DK155&lt;&gt;""),"",IF(AND($CV155&lt;&gt;$CW155,$CW155=CF$110),$DK155,"")),"")</f>
      </c>
      <c s="76">
        <f>IF(ISERROR(VLOOKUP(CV155,$AL$8:$AL$15,1,FALSE))=TRUE,IF(CF155&lt;&gt;"",IF(CF155&gt;0,RANK(CF155,$CF$111:$CF$300),""),""),"")</f>
      </c>
      <c s="75">
        <f>IF(ISERROR(VLOOKUP(CV155,$AL$8:$AL$15,1,FALSE))=TRUE,IF(AND(ISERROR(FIND("NeighMkt",$CX$102))=FALSE,LEFT($CW$111,10)="ALL OUTLET",$CA155&lt;&gt;"",DK155&lt;&gt;""),"",IF(AND($CV155&lt;&gt;$CW155,$CW155=CH$110),$DK155,"")),"")</f>
      </c>
      <c s="76">
        <f>IF(ISERROR(VLOOKUP(CV155,$AL$8:$AL$15,1,FALSE))=TRUE,IF(CH155&lt;&gt;"",IF(CH155&gt;0,RANK(CH155,$CH$111:$CH$300),""),""),"")</f>
      </c>
      <c s="75">
        <f>IF(ISERROR(VLOOKUP(CV155,$AL$8:$AL$15,1,FALSE))=TRUE,IF(AND(ISERROR(FIND("NeighMkt",$CX$102))=FALSE,LEFT($CW$111,10)="ALL OUTLET",$CA155&lt;&gt;"",DK155&lt;&gt;""),"",IF($Z$4="",IF(AND($CV155&lt;&gt;$CW155,$CW155=CJ$110),$DK155,""),IF(AND($CV155&lt;&gt;$CW155,$CW155&lt;&gt;CD$110,$CW155&lt;&gt;CF$110,$CW155&lt;&gt;CH$110,$CW155&lt;&gt;$CV$111),$DK155,""))),"")</f>
      </c>
      <c s="76">
        <f>IF(ISERROR(VLOOKUP(CV155,$AL$8:$AL$15,1,FALSE))=TRUE,IF(CJ155&lt;&gt;"",IF(CJ155&gt;0,RANK(CJ155,$CJ$111:$CJ$300),""),""),"")</f>
      </c>
      <c s="75">
        <f>IF(ISERROR(VLOOKUP(CV155,$AL$8:$AL$15,1,FALSE))=TRUE,IF(AND(CV155=CW155,CV155&lt;&gt;"",DJ155&lt;&gt;""),IF(AND(ISERROR(FIND("NeighMkt",$CX$102))=FALSE,LEFT($CW$111,10)="ALL OUTLET"),DJ155-IF(ISERROR(VLOOKUP(CV155,$CA$113:$DK$300,36,FALSE))=TRUE,0,IF(VLOOKUP(CV155,$CA$113:$DK$300,36,FALSE)="",0,VLOOKUP(CV155,$CA$113:$DK$300,36,FALSE))),DJ155),""),"")</f>
      </c>
      <c s="76">
        <f>IF(ISERROR(VLOOKUP(CV155,$AL$8:$AL$15,1,FALSE))=TRUE,IF(CL155&lt;&gt;"",IF(CL155&gt;0,IF($Z$4&lt;&gt;"",MIN(4,RANK(CL155,$CL$111:$CL$300)),RANK(CL155,$CL$111:$CL$300)),""),""),"")</f>
      </c>
      <c s="75">
        <f>IF(ISERROR(VLOOKUP(CV155,$AL$8:$AL$15,1,FALSE))=TRUE,IF(AND(ISERROR(FIND("NeighMkt",$CX$102))=FALSE,LEFT($CW$111,10)="ALL OUTLET",$CA155&lt;&gt;"",DJ155&lt;&gt;""),"",IF(AND($CV155&lt;&gt;$CW155,$CW155=CN$110),$DJ155,"")),"")</f>
        <v>2246791.36231327</v>
      </c>
      <c s="76">
        <f>IF(ISERROR(VLOOKUP(CV155,$AL$8:$AL$15,1,FALSE))=TRUE,IF(CN155&lt;&gt;"",IF(CN155&gt;0,RANK(CN155,$CN$111:$CN$300),""),""),"")</f>
        <v>42</v>
      </c>
      <c s="75">
        <f>IF(ISERROR(VLOOKUP(CV155,$AL$8:$AL$15,1,FALSE))=TRUE,IF(AND(ISERROR(FIND("NeighMkt",$CX$102))=FALSE,LEFT($CW$111,10)="ALL OUTLET",$CA155&lt;&gt;"",DJ155&lt;&gt;""),"",IF(AND($CV155&lt;&gt;$CW155,$CW155=CP$110),$DJ155,"")),"")</f>
      </c>
      <c s="76">
        <f>IF(ISERROR(VLOOKUP(CV155,$AL$8:$AL$15,1,FALSE))=TRUE,IF(CP155&lt;&gt;"",IF(CP155&gt;0,RANK(CP155,$CP$111:$CP$300),""),""),"")</f>
      </c>
      <c s="75">
        <f>IF(ISERROR(VLOOKUP(CV155,$AL$8:$AL$15,1,FALSE))=TRUE,IF(AND(ISERROR(FIND("NeighMkt",$CX$102))=FALSE,LEFT($CW$111,10)="ALL OUTLET",$CA155&lt;&gt;"",DJ155&lt;&gt;""),"",IF(AND($CV155&lt;&gt;$CW155,$CW155=CR$110),$DJ155,"")),"")</f>
      </c>
      <c s="76">
        <f>IF(ISERROR(VLOOKUP(CV155,$AL$8:$AL$15,1,FALSE))=TRUE,IF(CR155&lt;&gt;"",IF(CR155&gt;0,RANK(CR155,$CR$111:$CR$300),""),""),"")</f>
      </c>
      <c s="75">
        <f>IF(ISERROR(VLOOKUP(CV155,$AL$8:$AL$15,1,FALSE))=TRUE,IF(AND(ISERROR(FIND("NeighMkt",$CX$102))=FALSE,LEFT($CW$111,10)="ALL OUTLET",$CA155&lt;&gt;"",DJ155&lt;&gt;""),"",IF($Z$4="",IF(AND($CV155&lt;&gt;$CW155,$CW155=CT$110),$DJ155,""),IF(AND($CV155&lt;&gt;$CW155,$CW155&lt;&gt;CN$110,$CW155&lt;&gt;CP$110,$CW155&lt;&gt;CR$110,$CW155&lt;&gt;$CV$111),$DJ155,""))),"")</f>
      </c>
      <c s="76">
        <f>IF(ISERROR(VLOOKUP(CV155,$AL$8:$AL$15,1,FALSE))=TRUE,IF(CT155&lt;&gt;"",IF(CT155&gt;0,RANK(CT155,$CT$111:$CT$300),""),""),"")</f>
      </c>
      <c s="65" t="str">
        <f t="shared" si="2"/>
        <v>Grocery Outlet</v>
      </c>
      <c s="65" t="str">
        <f t="shared" si="3"/>
        <v>GroceryX</v>
      </c>
      <c s="72" t="str">
        <f>IF('[1]Leakage Tree Data'!A54&lt;&gt;"",'[1]Leakage Tree Data'!A54,"")</f>
        <v>Total US - Grocery Outlet</v>
      </c>
      <c s="72" t="str">
        <f>IF('[1]Leakage Tree Data'!B54&lt;&gt;"",'[1]Leakage Tree Data'!B54,"")</f>
        <v>Total US - GroceryX</v>
      </c>
      <c s="72">
        <f>IF('[1]Leakage Tree Data'!C54&lt;&gt;"",'[1]Leakage Tree Data'!C54,"")</f>
        <v>121171760.292236</v>
      </c>
      <c s="72">
        <f>IF('[1]Leakage Tree Data'!D54&lt;&gt;"",'[1]Leakage Tree Data'!D54,"")</f>
        <v>4500823.18206787</v>
      </c>
      <c s="72">
        <f>IF('[1]Leakage Tree Data'!E54&lt;&gt;"",'[1]Leakage Tree Data'!E54,"")</f>
        <v>3.71441594247125</v>
      </c>
      <c s="72">
        <f>IF('[1]Leakage Tree Data'!F54&lt;&gt;"",'[1]Leakage Tree Data'!F54,"")</f>
        <v>116670937.110168</v>
      </c>
      <c s="72">
        <f>IF('[1]Leakage Tree Data'!G54&lt;&gt;"",'[1]Leakage Tree Data'!G54,"")</f>
        <v>96.2855840575288</v>
      </c>
      <c s="72">
        <f>IF('[1]Leakage Tree Data'!H54&lt;&gt;"",'[1]Leakage Tree Data'!H54,"")</f>
        <v>61518209.9918823</v>
      </c>
      <c s="72" t="str">
        <f>IF('[1]Leakage Tree Data'!I54&lt;&gt;"",'[1]Leakage Tree Data'!I54,"")</f>
        <v>GroceryX</v>
      </c>
      <c s="72">
        <f>IF('[1]Leakage Tree Data'!J54&lt;&gt;"",'[1]Leakage Tree Data'!J54,"")</f>
        <v>99.3861154719536</v>
      </c>
      <c s="72">
        <f>IF('[1]Leakage Tree Data'!K54&lt;&gt;"",'[1]Leakage Tree Data'!K54,"")</f>
        <v>377650.773071289</v>
      </c>
      <c s="72">
        <f>IF('[1]Leakage Tree Data'!L54&lt;&gt;"",'[1]Leakage Tree Data'!L54,"")</f>
        <v>1012552.07986069</v>
      </c>
      <c s="72">
        <f>IF('[1]Leakage Tree Data'!M54&lt;&gt;"",'[1]Leakage Tree Data'!M54,"")</f>
        <v>2246791.36231327</v>
      </c>
      <c s="72">
        <f>IF('[1]Leakage Tree Data'!N54&lt;&gt;"",'[1]Leakage Tree Data'!N54,"")</f>
        <v>1012552.07986069</v>
      </c>
      <c s="72">
        <f>IF('[1]Leakage Tree Data'!O54&lt;&gt;"",'[1]Leakage Tree Data'!O54,"")</f>
        <v>17.332888491323</v>
      </c>
      <c s="72">
        <f>IF('[1]Leakage Tree Data'!P54&lt;&gt;"",'[1]Leakage Tree Data'!P54,"")</f>
        <v>445609.830529382</v>
      </c>
      <c s="72">
        <f>IF('[1]Leakage Tree Data'!Q54&lt;&gt;"",'[1]Leakage Tree Data'!Q54,"")</f>
      </c>
      <c s="72">
        <f>IF('[1]Leakage Tree Data'!R54&lt;&gt;"",'[1]Leakage Tree Data'!R54,"")</f>
        <v>1017625.85098267</v>
      </c>
      <c s="72">
        <f>IF('[1]Leakage Tree Data'!S54&lt;&gt;"",'[1]Leakage Tree Data'!S54,"")</f>
        <v>332714.437591553</v>
      </c>
      <c s="72">
        <f>IF('[1]Leakage Tree Data'!T54&lt;&gt;"",'[1]Leakage Tree Data'!T54,"")</f>
        <v>0.245447717733038</v>
      </c>
      <c s="72">
        <f>IF('[1]Leakage Tree Data'!U54&lt;&gt;"",'[1]Leakage Tree Data'!U54,"")</f>
        <v>684911.413391113</v>
      </c>
      <c s="72">
        <f>IF('[1]Leakage Tree Data'!V54&lt;&gt;"",'[1]Leakage Tree Data'!V54,"")</f>
        <v>-0.245447717733043</v>
      </c>
      <c s="72">
        <f>IF('[1]Leakage Tree Data'!W54&lt;&gt;"",'[1]Leakage Tree Data'!W54,"")</f>
        <v>-1855949.2237854</v>
      </c>
      <c s="72">
        <f>IF('[1]Leakage Tree Data'!X54&lt;&gt;"",'[1]Leakage Tree Data'!X54,"")</f>
      </c>
      <c s="72">
        <f>IF('[1]Leakage Tree Data'!Y54&lt;&gt;"",'[1]Leakage Tree Data'!Y54,"")</f>
        <v>0.00251217265312675</v>
      </c>
      <c s="72">
        <f>IF('[1]Leakage Tree Data'!Z54&lt;&gt;"",'[1]Leakage Tree Data'!Z54,"")</f>
        <v>-12985.4534301758</v>
      </c>
      <c s="72">
        <f>IF('[1]Leakage Tree Data'!AA54&lt;&gt;"",'[1]Leakage Tree Data'!AA54,"")</f>
        <v>-336407.183200836</v>
      </c>
      <c s="72">
        <f>IF('[1]Leakage Tree Data'!AB54&lt;&gt;"",'[1]Leakage Tree Data'!AB54,"")</f>
        <v>-888700.433707237</v>
      </c>
      <c s="72">
        <f>IF('[1]Leakage Tree Data'!AC54&lt;&gt;"",'[1]Leakage Tree Data'!AC54,"")</f>
        <v>-336407.183200836</v>
      </c>
      <c s="72">
        <f>IF('[1]Leakage Tree Data'!AD54&lt;&gt;"",'[1]Leakage Tree Data'!AD54,"")</f>
        <v>0.349942567596958</v>
      </c>
      <c s="72">
        <f>IF('[1]Leakage Tree Data'!AE54&lt;&gt;"",'[1]Leakage Tree Data'!AE54,"")</f>
      </c>
      <c s="73">
        <f t="shared" si="11"/>
      </c>
      <c s="73">
        <f t="shared" si="12"/>
      </c>
      <c s="73">
        <f t="shared" si="13"/>
      </c>
      <c s="73">
        <f t="shared" si="14"/>
      </c>
      <c s="74">
        <f t="shared" si="15"/>
      </c>
      <c s="74">
        <f t="shared" si="16"/>
      </c>
      <c s="69" t="str">
        <f t="shared" si="0"/>
        <v>Total US - Grocery Outlet</v>
      </c>
      <c s="69" t="str">
        <f t="shared" si="1"/>
        <v>Total US - GroceryX</v>
      </c>
      <c s="77"/>
    </row>
    <row r="156" spans="1:141" ht="15">
      <c r="A1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156,$AL$8:$AL$15,1,FALSE))=TRUE,IF(AND(CV156=CW156,CV156&lt;&gt;"",DI$111&lt;&gt;"",DK156&lt;&gt;""),IF(CW$101="Y",DK156-IF(ISERROR(VLOOKUP(CV156,$CA$113:$DK$300,37,FALSE))=TRUE,0,IF(VLOOKUP(CV156,$CA$113:$DK$300,37,FALSE)="",0,VLOOKUP(CV156,$CA$113:$DK$300,37,FALSE))),DK156-IF(AND(CW$102="Y",CV156=$CW$111),DI$111,0)),""),"")</f>
      </c>
      <c s="76">
        <f>IF(ISERROR(VLOOKUP(CV156,$AL$8:$AL$15,1,FALSE))=TRUE,IF(CB156&lt;&gt;"",IF(CB156&gt;0,IF(Z$4&lt;&gt;"",MIN(4,RANK(CB156,$CB$111:$CB$300)),RANK(CB156,$CB$111:$CB$300)),""),""),"")</f>
      </c>
      <c s="75">
        <f>IF(ISERROR(VLOOKUP(CV156,$AL$8:$AL$15,1,FALSE))=TRUE,IF(AND(ISERROR(FIND("NeighMkt",$CX$102))=FALSE,LEFT($CW$111,10)="ALL OUTLET",$CA156&lt;&gt;"",DK156&lt;&gt;""),"",IF(AND($CV156&lt;&gt;$CW156,$CW156=CD$110),$DK156,"")),"")</f>
        <v>5633573.717453</v>
      </c>
      <c s="76">
        <f>IF(ISERROR(VLOOKUP(CV156,$AL$8:$AL$15,1,FALSE))=TRUE,IF(CD156&lt;&gt;"",IF(CD156&gt;0,RANK(CD156,$CD$111:$CD$300),""),""),"")</f>
        <v>6</v>
      </c>
      <c s="75">
        <f>IF(ISERROR(VLOOKUP(CV156,$AL$8:$AL$15,1,FALSE))=TRUE,IF(AND(ISERROR(FIND("NeighMkt",$CX$102))=FALSE,LEFT($CW$111,10)="ALL OUTLET",$CA156&lt;&gt;"",DK156&lt;&gt;""),"",IF(AND($CV156&lt;&gt;$CW156,$CW156=CF$110),$DK156,"")),"")</f>
      </c>
      <c s="76">
        <f>IF(ISERROR(VLOOKUP(CV156,$AL$8:$AL$15,1,FALSE))=TRUE,IF(CF156&lt;&gt;"",IF(CF156&gt;0,RANK(CF156,$CF$111:$CF$300),""),""),"")</f>
      </c>
      <c s="75">
        <f>IF(ISERROR(VLOOKUP(CV156,$AL$8:$AL$15,1,FALSE))=TRUE,IF(AND(ISERROR(FIND("NeighMkt",$CX$102))=FALSE,LEFT($CW$111,10)="ALL OUTLET",$CA156&lt;&gt;"",DK156&lt;&gt;""),"",IF(AND($CV156&lt;&gt;$CW156,$CW156=CH$110),$DK156,"")),"")</f>
      </c>
      <c s="76">
        <f>IF(ISERROR(VLOOKUP(CV156,$AL$8:$AL$15,1,FALSE))=TRUE,IF(CH156&lt;&gt;"",IF(CH156&gt;0,RANK(CH156,$CH$111:$CH$300),""),""),"")</f>
      </c>
      <c s="75">
        <f>IF(ISERROR(VLOOKUP(CV156,$AL$8:$AL$15,1,FALSE))=TRUE,IF(AND(ISERROR(FIND("NeighMkt",$CX$102))=FALSE,LEFT($CW$111,10)="ALL OUTLET",$CA156&lt;&gt;"",DK156&lt;&gt;""),"",IF($Z$4="",IF(AND($CV156&lt;&gt;$CW156,$CW156=CJ$110),$DK156,""),IF(AND($CV156&lt;&gt;$CW156,$CW156&lt;&gt;CD$110,$CW156&lt;&gt;CF$110,$CW156&lt;&gt;CH$110,$CW156&lt;&gt;$CV$111),$DK156,""))),"")</f>
      </c>
      <c s="76">
        <f>IF(ISERROR(VLOOKUP(CV156,$AL$8:$AL$15,1,FALSE))=TRUE,IF(CJ156&lt;&gt;"",IF(CJ156&gt;0,RANK(CJ156,$CJ$111:$CJ$300),""),""),"")</f>
      </c>
      <c s="75">
        <f>IF(ISERROR(VLOOKUP(CV156,$AL$8:$AL$15,1,FALSE))=TRUE,IF(AND(CV156=CW156,CV156&lt;&gt;"",DJ156&lt;&gt;""),IF(AND(ISERROR(FIND("NeighMkt",$CX$102))=FALSE,LEFT($CW$111,10)="ALL OUTLET"),DJ156-IF(ISERROR(VLOOKUP(CV156,$CA$113:$DK$300,36,FALSE))=TRUE,0,IF(VLOOKUP(CV156,$CA$113:$DK$300,36,FALSE)="",0,VLOOKUP(CV156,$CA$113:$DK$300,36,FALSE))),DJ156),""),"")</f>
      </c>
      <c s="76">
        <f>IF(ISERROR(VLOOKUP(CV156,$AL$8:$AL$15,1,FALSE))=TRUE,IF(CL156&lt;&gt;"",IF(CL156&gt;0,IF($Z$4&lt;&gt;"",MIN(4,RANK(CL156,$CL$111:$CL$300)),RANK(CL156,$CL$111:$CL$300)),""),""),"")</f>
      </c>
      <c s="75">
        <f>IF(ISERROR(VLOOKUP(CV156,$AL$8:$AL$15,1,FALSE))=TRUE,IF(AND(ISERROR(FIND("NeighMkt",$CX$102))=FALSE,LEFT($CW$111,10)="ALL OUTLET",$CA156&lt;&gt;"",DJ156&lt;&gt;""),"",IF(AND($CV156&lt;&gt;$CW156,$CW156=CN$110),$DJ156,"")),"")</f>
        <v>29619326.5266037</v>
      </c>
      <c s="76">
        <f>IF(ISERROR(VLOOKUP(CV156,$AL$8:$AL$15,1,FALSE))=TRUE,IF(CN156&lt;&gt;"",IF(CN156&gt;0,RANK(CN156,$CN$111:$CN$300),""),""),"")</f>
        <v>5</v>
      </c>
      <c s="75">
        <f>IF(ISERROR(VLOOKUP(CV156,$AL$8:$AL$15,1,FALSE))=TRUE,IF(AND(ISERROR(FIND("NeighMkt",$CX$102))=FALSE,LEFT($CW$111,10)="ALL OUTLET",$CA156&lt;&gt;"",DJ156&lt;&gt;""),"",IF(AND($CV156&lt;&gt;$CW156,$CW156=CP$110),$DJ156,"")),"")</f>
      </c>
      <c s="76">
        <f>IF(ISERROR(VLOOKUP(CV156,$AL$8:$AL$15,1,FALSE))=TRUE,IF(CP156&lt;&gt;"",IF(CP156&gt;0,RANK(CP156,$CP$111:$CP$300),""),""),"")</f>
      </c>
      <c s="75">
        <f>IF(ISERROR(VLOOKUP(CV156,$AL$8:$AL$15,1,FALSE))=TRUE,IF(AND(ISERROR(FIND("NeighMkt",$CX$102))=FALSE,LEFT($CW$111,10)="ALL OUTLET",$CA156&lt;&gt;"",DJ156&lt;&gt;""),"",IF(AND($CV156&lt;&gt;$CW156,$CW156=CR$110),$DJ156,"")),"")</f>
      </c>
      <c s="76">
        <f>IF(ISERROR(VLOOKUP(CV156,$AL$8:$AL$15,1,FALSE))=TRUE,IF(CR156&lt;&gt;"",IF(CR156&gt;0,RANK(CR156,$CR$111:$CR$300),""),""),"")</f>
      </c>
      <c s="75">
        <f>IF(ISERROR(VLOOKUP(CV156,$AL$8:$AL$15,1,FALSE))=TRUE,IF(AND(ISERROR(FIND("NeighMkt",$CX$102))=FALSE,LEFT($CW$111,10)="ALL OUTLET",$CA156&lt;&gt;"",DJ156&lt;&gt;""),"",IF($Z$4="",IF(AND($CV156&lt;&gt;$CW156,$CW156=CT$110),$DJ156,""),IF(AND($CV156&lt;&gt;$CW156,$CW156&lt;&gt;CN$110,$CW156&lt;&gt;CP$110,$CW156&lt;&gt;CR$110,$CW156&lt;&gt;$CV$111),$DJ156,""))),"")</f>
      </c>
      <c s="76">
        <f>IF(ISERROR(VLOOKUP(CV156,$AL$8:$AL$15,1,FALSE))=TRUE,IF(CT156&lt;&gt;"",IF(CT156&gt;0,RANK(CT156,$CT$111:$CT$300),""),""),"")</f>
      </c>
      <c s="65" t="str">
        <f t="shared" si="2"/>
        <v>HEB</v>
      </c>
      <c s="65" t="str">
        <f t="shared" si="3"/>
        <v>GroceryX</v>
      </c>
      <c s="72" t="str">
        <f>IF('[1]Leakage Tree Data'!A55&lt;&gt;"",'[1]Leakage Tree Data'!A55,"")</f>
        <v>Total US - HEB</v>
      </c>
      <c s="72" t="str">
        <f>IF('[1]Leakage Tree Data'!B55&lt;&gt;"",'[1]Leakage Tree Data'!B55,"")</f>
        <v>Total US - GroceryX</v>
      </c>
      <c s="72">
        <f>IF('[1]Leakage Tree Data'!C55&lt;&gt;"",'[1]Leakage Tree Data'!C55,"")</f>
        <v>121171760.292236</v>
      </c>
      <c s="72">
        <f>IF('[1]Leakage Tree Data'!D55&lt;&gt;"",'[1]Leakage Tree Data'!D55,"")</f>
        <v>5546882.43322754</v>
      </c>
      <c s="72">
        <f>IF('[1]Leakage Tree Data'!E55&lt;&gt;"",'[1]Leakage Tree Data'!E55,"")</f>
        <v>4.5777022796812</v>
      </c>
      <c s="72">
        <f>IF('[1]Leakage Tree Data'!F55&lt;&gt;"",'[1]Leakage Tree Data'!F55,"")</f>
        <v>115624877.859009</v>
      </c>
      <c s="72">
        <f>IF('[1]Leakage Tree Data'!G55&lt;&gt;"",'[1]Leakage Tree Data'!G55,"")</f>
        <v>95.4222977203188</v>
      </c>
      <c s="72">
        <f>IF('[1]Leakage Tree Data'!H55&lt;&gt;"",'[1]Leakage Tree Data'!H55,"")</f>
        <v>61518209.9918823</v>
      </c>
      <c s="72" t="str">
        <f>IF('[1]Leakage Tree Data'!I55&lt;&gt;"",'[1]Leakage Tree Data'!I55,"")</f>
        <v>GroceryX</v>
      </c>
      <c s="72">
        <f>IF('[1]Leakage Tree Data'!J55&lt;&gt;"",'[1]Leakage Tree Data'!J55,"")</f>
        <v>97.4181920555775</v>
      </c>
      <c s="72">
        <f>IF('[1]Leakage Tree Data'!K55&lt;&gt;"",'[1]Leakage Tree Data'!K55,"")</f>
        <v>1588282.03283691</v>
      </c>
      <c s="72">
        <f>IF('[1]Leakage Tree Data'!L55&lt;&gt;"",'[1]Leakage Tree Data'!L55,"")</f>
        <v>5633573.717453</v>
      </c>
      <c s="72">
        <f>IF('[1]Leakage Tree Data'!M55&lt;&gt;"",'[1]Leakage Tree Data'!M55,"")</f>
        <v>29619326.5266037</v>
      </c>
      <c s="72">
        <f>IF('[1]Leakage Tree Data'!N55&lt;&gt;"",'[1]Leakage Tree Data'!N55,"")</f>
        <v>5633573.717453</v>
      </c>
      <c s="72">
        <f>IF('[1]Leakage Tree Data'!O55&lt;&gt;"",'[1]Leakage Tree Data'!O55,"")</f>
        <v>52.1709956377874</v>
      </c>
      <c s="72">
        <f>IF('[1]Leakage Tree Data'!P55&lt;&gt;"",'[1]Leakage Tree Data'!P55,"")</f>
        <v>1408834.55843545</v>
      </c>
      <c s="72">
        <f>IF('[1]Leakage Tree Data'!Q55&lt;&gt;"",'[1]Leakage Tree Data'!Q55,"")</f>
      </c>
      <c s="72">
        <f>IF('[1]Leakage Tree Data'!R55&lt;&gt;"",'[1]Leakage Tree Data'!R55,"")</f>
        <v>1017625.85098267</v>
      </c>
      <c s="72">
        <f>IF('[1]Leakage Tree Data'!S55&lt;&gt;"",'[1]Leakage Tree Data'!S55,"")</f>
        <v>144292.651489258</v>
      </c>
      <c s="72">
        <f>IF('[1]Leakage Tree Data'!T55&lt;&gt;"",'[1]Leakage Tree Data'!T55,"")</f>
        <v>0.0813195235973927</v>
      </c>
      <c s="72">
        <f>IF('[1]Leakage Tree Data'!U55&lt;&gt;"",'[1]Leakage Tree Data'!U55,"")</f>
        <v>873333.199493408</v>
      </c>
      <c s="72">
        <f>IF('[1]Leakage Tree Data'!V55&lt;&gt;"",'[1]Leakage Tree Data'!V55,"")</f>
        <v>-0.0813195235974007</v>
      </c>
      <c s="72">
        <f>IF('[1]Leakage Tree Data'!W55&lt;&gt;"",'[1]Leakage Tree Data'!W55,"")</f>
        <v>-1855949.2237854</v>
      </c>
      <c s="72">
        <f>IF('[1]Leakage Tree Data'!X55&lt;&gt;"",'[1]Leakage Tree Data'!X55,"")</f>
      </c>
      <c s="72">
        <f>IF('[1]Leakage Tree Data'!Y55&lt;&gt;"",'[1]Leakage Tree Data'!Y55,"")</f>
        <v>-0.0903079991884539</v>
      </c>
      <c s="72">
        <f>IF('[1]Leakage Tree Data'!Z55&lt;&gt;"",'[1]Leakage Tree Data'!Z55,"")</f>
        <v>9314.89068603516</v>
      </c>
      <c s="72">
        <f>IF('[1]Leakage Tree Data'!AA55&lt;&gt;"",'[1]Leakage Tree Data'!AA55,"")</f>
        <v>-4130841.30082703</v>
      </c>
      <c s="72">
        <f>IF('[1]Leakage Tree Data'!AB55&lt;&gt;"",'[1]Leakage Tree Data'!AB55,"")</f>
        <v>6233199.7734642</v>
      </c>
      <c s="72">
        <f>IF('[1]Leakage Tree Data'!AC55&lt;&gt;"",'[1]Leakage Tree Data'!AC55,"")</f>
        <v>-4130841.30082703</v>
      </c>
      <c s="72">
        <f>IF('[1]Leakage Tree Data'!AD55&lt;&gt;"",'[1]Leakage Tree Data'!AD55,"")</f>
        <v>-0.174083014193393</v>
      </c>
      <c s="72">
        <f>IF('[1]Leakage Tree Data'!AE55&lt;&gt;"",'[1]Leakage Tree Data'!AE55,"")</f>
      </c>
      <c s="73">
        <f t="shared" si="11"/>
      </c>
      <c s="73">
        <f t="shared" si="12"/>
      </c>
      <c s="73">
        <f t="shared" si="13"/>
      </c>
      <c s="73">
        <f t="shared" si="14"/>
      </c>
      <c s="74">
        <f t="shared" si="15"/>
      </c>
      <c s="74">
        <f t="shared" si="16"/>
      </c>
      <c s="69" t="str">
        <f t="shared" si="0"/>
        <v>Total US - HEB</v>
      </c>
      <c s="69" t="str">
        <f t="shared" si="1"/>
        <v>Total US - GroceryX</v>
      </c>
      <c s="77"/>
    </row>
    <row r="157" spans="1:141" ht="15">
      <c r="A1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157,$AL$8:$AL$15,1,FALSE))=TRUE,IF(AND(CV157=CW157,CV157&lt;&gt;"",DI$111&lt;&gt;"",DK157&lt;&gt;""),IF(CW$101="Y",DK157-IF(ISERROR(VLOOKUP(CV157,$CA$113:$DK$300,37,FALSE))=TRUE,0,IF(VLOOKUP(CV157,$CA$113:$DK$300,37,FALSE)="",0,VLOOKUP(CV157,$CA$113:$DK$300,37,FALSE))),DK157-IF(AND(CW$102="Y",CV157=$CW$111),DI$111,0)),""),"")</f>
      </c>
      <c s="76">
        <f>IF(ISERROR(VLOOKUP(CV157,$AL$8:$AL$15,1,FALSE))=TRUE,IF(CB157&lt;&gt;"",IF(CB157&gt;0,IF(Z$4&lt;&gt;"",MIN(4,RANK(CB157,$CB$111:$CB$300)),RANK(CB157,$CB$111:$CB$300)),""),""),"")</f>
      </c>
      <c s="75">
        <f>IF(ISERROR(VLOOKUP(CV157,$AL$8:$AL$15,1,FALSE))=TRUE,IF(AND(ISERROR(FIND("NeighMkt",$CX$102))=FALSE,LEFT($CW$111,10)="ALL OUTLET",$CA157&lt;&gt;"",DK157&lt;&gt;""),"",IF(AND($CV157&lt;&gt;$CW157,$CW157=CD$110),$DK157,"")),"")</f>
      </c>
      <c s="76">
        <f>IF(ISERROR(VLOOKUP(CV157,$AL$8:$AL$15,1,FALSE))=TRUE,IF(CD157&lt;&gt;"",IF(CD157&gt;0,RANK(CD157,$CD$111:$CD$300),""),""),"")</f>
      </c>
      <c s="75">
        <f>IF(ISERROR(VLOOKUP(CV157,$AL$8:$AL$15,1,FALSE))=TRUE,IF(AND(ISERROR(FIND("NeighMkt",$CX$102))=FALSE,LEFT($CW$111,10)="ALL OUTLET",$CA157&lt;&gt;"",DK157&lt;&gt;""),"",IF(AND($CV157&lt;&gt;$CW157,$CW157=CF$110),$DK157,"")),"")</f>
      </c>
      <c s="76">
        <f>IF(ISERROR(VLOOKUP(CV157,$AL$8:$AL$15,1,FALSE))=TRUE,IF(CF157&lt;&gt;"",IF(CF157&gt;0,RANK(CF157,$CF$111:$CF$300),""),""),"")</f>
      </c>
      <c s="75">
        <f>IF(ISERROR(VLOOKUP(CV157,$AL$8:$AL$15,1,FALSE))=TRUE,IF(AND(ISERROR(FIND("NeighMkt",$CX$102))=FALSE,LEFT($CW$111,10)="ALL OUTLET",$CA157&lt;&gt;"",DK157&lt;&gt;""),"",IF(AND($CV157&lt;&gt;$CW157,$CW157=CH$110),$DK157,"")),"")</f>
      </c>
      <c s="76">
        <f>IF(ISERROR(VLOOKUP(CV157,$AL$8:$AL$15,1,FALSE))=TRUE,IF(CH157&lt;&gt;"",IF(CH157&gt;0,RANK(CH157,$CH$111:$CH$300),""),""),"")</f>
      </c>
      <c s="75">
        <f>IF(ISERROR(VLOOKUP(CV157,$AL$8:$AL$15,1,FALSE))=TRUE,IF(AND(ISERROR(FIND("NeighMkt",$CX$102))=FALSE,LEFT($CW$111,10)="ALL OUTLET",$CA157&lt;&gt;"",DK157&lt;&gt;""),"",IF($Z$4="",IF(AND($CV157&lt;&gt;$CW157,$CW157=CJ$110),$DK157,""),IF(AND($CV157&lt;&gt;$CW157,$CW157&lt;&gt;CD$110,$CW157&lt;&gt;CF$110,$CW157&lt;&gt;CH$110,$CW157&lt;&gt;$CV$111),$DK157,""))),"")</f>
      </c>
      <c s="76">
        <f>IF(ISERROR(VLOOKUP(CV157,$AL$8:$AL$15,1,FALSE))=TRUE,IF(CJ157&lt;&gt;"",IF(CJ157&gt;0,RANK(CJ157,$CJ$111:$CJ$300),""),""),"")</f>
      </c>
      <c s="75">
        <f>IF(ISERROR(VLOOKUP(CV157,$AL$8:$AL$15,1,FALSE))=TRUE,IF(AND(CV157=CW157,CV157&lt;&gt;"",DJ157&lt;&gt;""),IF(AND(ISERROR(FIND("NeighMkt",$CX$102))=FALSE,LEFT($CW$111,10)="ALL OUTLET"),DJ157-IF(ISERROR(VLOOKUP(CV157,$CA$113:$DK$300,36,FALSE))=TRUE,0,IF(VLOOKUP(CV157,$CA$113:$DK$300,36,FALSE)="",0,VLOOKUP(CV157,$CA$113:$DK$300,36,FALSE))),DJ157),""),"")</f>
      </c>
      <c s="76">
        <f>IF(ISERROR(VLOOKUP(CV157,$AL$8:$AL$15,1,FALSE))=TRUE,IF(CL157&lt;&gt;"",IF(CL157&gt;0,IF($Z$4&lt;&gt;"",MIN(4,RANK(CL157,$CL$111:$CL$300)),RANK(CL157,$CL$111:$CL$300)),""),""),"")</f>
      </c>
      <c s="75">
        <f>IF(ISERROR(VLOOKUP(CV157,$AL$8:$AL$15,1,FALSE))=TRUE,IF(AND(ISERROR(FIND("NeighMkt",$CX$102))=FALSE,LEFT($CW$111,10)="ALL OUTLET",$CA157&lt;&gt;"",DJ157&lt;&gt;""),"",IF(AND($CV157&lt;&gt;$CW157,$CW157=CN$110),$DJ157,"")),"")</f>
        <v>2200463.74072266</v>
      </c>
      <c s="76">
        <f>IF(ISERROR(VLOOKUP(CV157,$AL$8:$AL$15,1,FALSE))=TRUE,IF(CN157&lt;&gt;"",IF(CN157&gt;0,RANK(CN157,$CN$111:$CN$300),""),""),"")</f>
        <v>43</v>
      </c>
      <c s="75">
        <f>IF(ISERROR(VLOOKUP(CV157,$AL$8:$AL$15,1,FALSE))=TRUE,IF(AND(ISERROR(FIND("NeighMkt",$CX$102))=FALSE,LEFT($CW$111,10)="ALL OUTLET",$CA157&lt;&gt;"",DJ157&lt;&gt;""),"",IF(AND($CV157&lt;&gt;$CW157,$CW157=CP$110),$DJ157,"")),"")</f>
      </c>
      <c s="76">
        <f>IF(ISERROR(VLOOKUP(CV157,$AL$8:$AL$15,1,FALSE))=TRUE,IF(CP157&lt;&gt;"",IF(CP157&gt;0,RANK(CP157,$CP$111:$CP$300),""),""),"")</f>
      </c>
      <c s="75">
        <f>IF(ISERROR(VLOOKUP(CV157,$AL$8:$AL$15,1,FALSE))=TRUE,IF(AND(ISERROR(FIND("NeighMkt",$CX$102))=FALSE,LEFT($CW$111,10)="ALL OUTLET",$CA157&lt;&gt;"",DJ157&lt;&gt;""),"",IF(AND($CV157&lt;&gt;$CW157,$CW157=CR$110),$DJ157,"")),"")</f>
      </c>
      <c s="76">
        <f>IF(ISERROR(VLOOKUP(CV157,$AL$8:$AL$15,1,FALSE))=TRUE,IF(CR157&lt;&gt;"",IF(CR157&gt;0,RANK(CR157,$CR$111:$CR$300),""),""),"")</f>
      </c>
      <c s="75">
        <f>IF(ISERROR(VLOOKUP(CV157,$AL$8:$AL$15,1,FALSE))=TRUE,IF(AND(ISERROR(FIND("NeighMkt",$CX$102))=FALSE,LEFT($CW$111,10)="ALL OUTLET",$CA157&lt;&gt;"",DJ157&lt;&gt;""),"",IF($Z$4="",IF(AND($CV157&lt;&gt;$CW157,$CW157=CT$110),$DJ157,""),IF(AND($CV157&lt;&gt;$CW157,$CW157&lt;&gt;CN$110,$CW157&lt;&gt;CP$110,$CW157&lt;&gt;CR$110,$CW157&lt;&gt;$CV$111),$DJ157,""))),"")</f>
      </c>
      <c s="76">
        <f>IF(ISERROR(VLOOKUP(CV157,$AL$8:$AL$15,1,FALSE))=TRUE,IF(CT157&lt;&gt;"",IF(CT157&gt;0,RANK(CT157,$CT$111:$CT$300),""),""),"")</f>
      </c>
      <c s="65" t="str">
        <f t="shared" si="2"/>
        <v>Hannaford</v>
      </c>
      <c s="65" t="str">
        <f t="shared" si="3"/>
        <v>GroceryX</v>
      </c>
      <c s="72" t="str">
        <f>IF('[1]Leakage Tree Data'!A56&lt;&gt;"",'[1]Leakage Tree Data'!A56,"")</f>
        <v>Total US - Hannaford</v>
      </c>
      <c s="72" t="str">
        <f>IF('[1]Leakage Tree Data'!B56&lt;&gt;"",'[1]Leakage Tree Data'!B56,"")</f>
        <v>Total US - GroceryX</v>
      </c>
      <c s="72">
        <f>IF('[1]Leakage Tree Data'!C56&lt;&gt;"",'[1]Leakage Tree Data'!C56,"")</f>
        <v>121171760.292236</v>
      </c>
      <c s="72">
        <f>IF('[1]Leakage Tree Data'!D56&lt;&gt;"",'[1]Leakage Tree Data'!D56,"")</f>
        <v>2313984.74816895</v>
      </c>
      <c s="72">
        <f>IF('[1]Leakage Tree Data'!E56&lt;&gt;"",'[1]Leakage Tree Data'!E56,"")</f>
        <v>1.90967329564924</v>
      </c>
      <c s="72">
        <f>IF('[1]Leakage Tree Data'!F56&lt;&gt;"",'[1]Leakage Tree Data'!F56,"")</f>
        <v>118857775.544067</v>
      </c>
      <c s="72">
        <f>IF('[1]Leakage Tree Data'!G56&lt;&gt;"",'[1]Leakage Tree Data'!G56,"")</f>
        <v>98.0903267043508</v>
      </c>
      <c s="72">
        <f>IF('[1]Leakage Tree Data'!H56&lt;&gt;"",'[1]Leakage Tree Data'!H56,"")</f>
        <v>61518209.9918823</v>
      </c>
      <c s="72" t="str">
        <f>IF('[1]Leakage Tree Data'!I56&lt;&gt;"",'[1]Leakage Tree Data'!I56,"")</f>
        <v>GroceryX</v>
      </c>
      <c s="72">
        <f>IF('[1]Leakage Tree Data'!J56&lt;&gt;"",'[1]Leakage Tree Data'!J56,"")</f>
        <v>99.642669671779</v>
      </c>
      <c s="72">
        <f>IF('[1]Leakage Tree Data'!K56&lt;&gt;"",'[1]Leakage Tree Data'!K56,"")</f>
        <v>219823.221679688</v>
      </c>
      <c s="72">
        <f>IF('[1]Leakage Tree Data'!L56&lt;&gt;"",'[1]Leakage Tree Data'!L56,"")</f>
      </c>
      <c s="72">
        <f>IF('[1]Leakage Tree Data'!M56&lt;&gt;"",'[1]Leakage Tree Data'!M56,"")</f>
        <v>2200463.74072266</v>
      </c>
      <c s="72">
        <f>IF('[1]Leakage Tree Data'!N56&lt;&gt;"",'[1]Leakage Tree Data'!N56,"")</f>
      </c>
      <c s="72">
        <f>IF('[1]Leakage Tree Data'!O56&lt;&gt;"",'[1]Leakage Tree Data'!O56,"")</f>
        <v>24.8452581845429</v>
      </c>
      <c s="72">
        <f>IF('[1]Leakage Tree Data'!P56&lt;&gt;"",'[1]Leakage Tree Data'!P56,"")</f>
        <v>362372.797912978</v>
      </c>
      <c s="72">
        <f>IF('[1]Leakage Tree Data'!Q56&lt;&gt;"",'[1]Leakage Tree Data'!Q56,"")</f>
      </c>
      <c s="72">
        <f>IF('[1]Leakage Tree Data'!R56&lt;&gt;"",'[1]Leakage Tree Data'!R56,"")</f>
        <v>1017625.85098267</v>
      </c>
      <c s="72">
        <f>IF('[1]Leakage Tree Data'!S56&lt;&gt;"",'[1]Leakage Tree Data'!S56,"")</f>
        <v>-81540.4313354492</v>
      </c>
      <c s="72">
        <f>IF('[1]Leakage Tree Data'!T56&lt;&gt;"",'[1]Leakage Tree Data'!T56,"")</f>
        <v>-0.0840368589319387</v>
      </c>
      <c s="72">
        <f>IF('[1]Leakage Tree Data'!U56&lt;&gt;"",'[1]Leakage Tree Data'!U56,"")</f>
        <v>1099166.28231812</v>
      </c>
      <c s="72">
        <f>IF('[1]Leakage Tree Data'!V56&lt;&gt;"",'[1]Leakage Tree Data'!V56,"")</f>
        <v>0.0840368589319382</v>
      </c>
      <c s="72">
        <f>IF('[1]Leakage Tree Data'!W56&lt;&gt;"",'[1]Leakage Tree Data'!W56,"")</f>
        <v>-1855949.2237854</v>
      </c>
      <c s="72">
        <f>IF('[1]Leakage Tree Data'!X56&lt;&gt;"",'[1]Leakage Tree Data'!X56,"")</f>
      </c>
      <c s="72">
        <f>IF('[1]Leakage Tree Data'!Y56&lt;&gt;"",'[1]Leakage Tree Data'!Y56,"")</f>
        <v>0.0745456981033641</v>
      </c>
      <c s="72">
        <f>IF('[1]Leakage Tree Data'!Z56&lt;&gt;"",'[1]Leakage Tree Data'!Z56,"")</f>
        <v>-53874.5788574219</v>
      </c>
      <c s="72">
        <f>IF('[1]Leakage Tree Data'!AA56&lt;&gt;"",'[1]Leakage Tree Data'!AA56,"")</f>
      </c>
      <c s="72">
        <f>IF('[1]Leakage Tree Data'!AB56&lt;&gt;"",'[1]Leakage Tree Data'!AB56,"")</f>
        <v>158511.325061798</v>
      </c>
      <c s="72">
        <f>IF('[1]Leakage Tree Data'!AC56&lt;&gt;"",'[1]Leakage Tree Data'!AC56,"")</f>
      </c>
      <c s="72">
        <f>IF('[1]Leakage Tree Data'!AD56&lt;&gt;"",'[1]Leakage Tree Data'!AD56,"")</f>
        <v>-0.0108470267119571</v>
      </c>
      <c s="72">
        <f>IF('[1]Leakage Tree Data'!AE56&lt;&gt;"",'[1]Leakage Tree Data'!AE56,"")</f>
      </c>
      <c s="73">
        <f t="shared" si="11"/>
      </c>
      <c s="73">
        <f t="shared" si="12"/>
      </c>
      <c s="73">
        <f t="shared" si="13"/>
      </c>
      <c s="73">
        <f t="shared" si="14"/>
      </c>
      <c s="74">
        <f t="shared" si="15"/>
      </c>
      <c s="74">
        <f t="shared" si="16"/>
      </c>
      <c s="69" t="str">
        <f t="shared" si="0"/>
        <v>Total US - Hannaford</v>
      </c>
      <c s="69" t="str">
        <f t="shared" si="1"/>
        <v>Total US - GroceryX</v>
      </c>
      <c s="77"/>
    </row>
    <row r="158" spans="1:141" ht="15">
      <c r="A1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158,$AL$8:$AL$15,1,FALSE))=TRUE,IF(AND(CV158=CW158,CV158&lt;&gt;"",DI$111&lt;&gt;"",DK158&lt;&gt;""),IF(CW$101="Y",DK158-IF(ISERROR(VLOOKUP(CV158,$CA$113:$DK$300,37,FALSE))=TRUE,0,IF(VLOOKUP(CV158,$CA$113:$DK$300,37,FALSE)="",0,VLOOKUP(CV158,$CA$113:$DK$300,37,FALSE))),DK158-IF(AND(CW$102="Y",CV158=$CW$111),DI$111,0)),""),"")</f>
      </c>
      <c s="76">
        <f>IF(ISERROR(VLOOKUP(CV158,$AL$8:$AL$15,1,FALSE))=TRUE,IF(CB158&lt;&gt;"",IF(CB158&gt;0,IF(Z$4&lt;&gt;"",MIN(4,RANK(CB158,$CB$111:$CB$300)),RANK(CB158,$CB$111:$CB$300)),""),""),"")</f>
      </c>
      <c s="75">
        <f>IF(ISERROR(VLOOKUP(CV158,$AL$8:$AL$15,1,FALSE))=TRUE,IF(AND(ISERROR(FIND("NeighMkt",$CX$102))=FALSE,LEFT($CW$111,10)="ALL OUTLET",$CA158&lt;&gt;"",DK158&lt;&gt;""),"",IF(AND($CV158&lt;&gt;$CW158,$CW158=CD$110),$DK158,"")),"")</f>
        <v>3025774.49697876</v>
      </c>
      <c s="76">
        <f>IF(ISERROR(VLOOKUP(CV158,$AL$8:$AL$15,1,FALSE))=TRUE,IF(CD158&lt;&gt;"",IF(CD158&gt;0,RANK(CD158,$CD$111:$CD$300),""),""),"")</f>
        <v>17</v>
      </c>
      <c s="75">
        <f>IF(ISERROR(VLOOKUP(CV158,$AL$8:$AL$15,1,FALSE))=TRUE,IF(AND(ISERROR(FIND("NeighMkt",$CX$102))=FALSE,LEFT($CW$111,10)="ALL OUTLET",$CA158&lt;&gt;"",DK158&lt;&gt;""),"",IF(AND($CV158&lt;&gt;$CW158,$CW158=CF$110),$DK158,"")),"")</f>
      </c>
      <c s="76">
        <f>IF(ISERROR(VLOOKUP(CV158,$AL$8:$AL$15,1,FALSE))=TRUE,IF(CF158&lt;&gt;"",IF(CF158&gt;0,RANK(CF158,$CF$111:$CF$300),""),""),"")</f>
      </c>
      <c s="75">
        <f>IF(ISERROR(VLOOKUP(CV158,$AL$8:$AL$15,1,FALSE))=TRUE,IF(AND(ISERROR(FIND("NeighMkt",$CX$102))=FALSE,LEFT($CW$111,10)="ALL OUTLET",$CA158&lt;&gt;"",DK158&lt;&gt;""),"",IF(AND($CV158&lt;&gt;$CW158,$CW158=CH$110),$DK158,"")),"")</f>
      </c>
      <c s="76">
        <f>IF(ISERROR(VLOOKUP(CV158,$AL$8:$AL$15,1,FALSE))=TRUE,IF(CH158&lt;&gt;"",IF(CH158&gt;0,RANK(CH158,$CH$111:$CH$300),""),""),"")</f>
      </c>
      <c s="75">
        <f>IF(ISERROR(VLOOKUP(CV158,$AL$8:$AL$15,1,FALSE))=TRUE,IF(AND(ISERROR(FIND("NeighMkt",$CX$102))=FALSE,LEFT($CW$111,10)="ALL OUTLET",$CA158&lt;&gt;"",DK158&lt;&gt;""),"",IF($Z$4="",IF(AND($CV158&lt;&gt;$CW158,$CW158=CJ$110),$DK158,""),IF(AND($CV158&lt;&gt;$CW158,$CW158&lt;&gt;CD$110,$CW158&lt;&gt;CF$110,$CW158&lt;&gt;CH$110,$CW158&lt;&gt;$CV$111),$DK158,""))),"")</f>
      </c>
      <c s="76">
        <f>IF(ISERROR(VLOOKUP(CV158,$AL$8:$AL$15,1,FALSE))=TRUE,IF(CJ158&lt;&gt;"",IF(CJ158&gt;0,RANK(CJ158,$CJ$111:$CJ$300),""),""),"")</f>
      </c>
      <c s="75">
        <f>IF(ISERROR(VLOOKUP(CV158,$AL$8:$AL$15,1,FALSE))=TRUE,IF(AND(CV158=CW158,CV158&lt;&gt;"",DJ158&lt;&gt;""),IF(AND(ISERROR(FIND("NeighMkt",$CX$102))=FALSE,LEFT($CW$111,10)="ALL OUTLET"),DJ158-IF(ISERROR(VLOOKUP(CV158,$CA$113:$DK$300,36,FALSE))=TRUE,0,IF(VLOOKUP(CV158,$CA$113:$DK$300,36,FALSE)="",0,VLOOKUP(CV158,$CA$113:$DK$300,36,FALSE))),DJ158),""),"")</f>
      </c>
      <c s="76">
        <f>IF(ISERROR(VLOOKUP(CV158,$AL$8:$AL$15,1,FALSE))=TRUE,IF(CL158&lt;&gt;"",IF(CL158&gt;0,IF($Z$4&lt;&gt;"",MIN(4,RANK(CL158,$CL$111:$CL$300)),RANK(CL158,$CL$111:$CL$300)),""),""),"")</f>
      </c>
      <c s="75">
        <f>IF(ISERROR(VLOOKUP(CV158,$AL$8:$AL$15,1,FALSE))=TRUE,IF(AND(ISERROR(FIND("NeighMkt",$CX$102))=FALSE,LEFT($CW$111,10)="ALL OUTLET",$CA158&lt;&gt;"",DJ158&lt;&gt;""),"",IF(AND($CV158&lt;&gt;$CW158,$CW158=CN$110),$DJ158,"")),"")</f>
        <v>9557434.60745239</v>
      </c>
      <c s="76">
        <f>IF(ISERROR(VLOOKUP(CV158,$AL$8:$AL$15,1,FALSE))=TRUE,IF(CN158&lt;&gt;"",IF(CN158&gt;0,RANK(CN158,$CN$111:$CN$300),""),""),"")</f>
        <v>12</v>
      </c>
      <c s="75">
        <f>IF(ISERROR(VLOOKUP(CV158,$AL$8:$AL$15,1,FALSE))=TRUE,IF(AND(ISERROR(FIND("NeighMkt",$CX$102))=FALSE,LEFT($CW$111,10)="ALL OUTLET",$CA158&lt;&gt;"",DJ158&lt;&gt;""),"",IF(AND($CV158&lt;&gt;$CW158,$CW158=CP$110),$DJ158,"")),"")</f>
      </c>
      <c s="76">
        <f>IF(ISERROR(VLOOKUP(CV158,$AL$8:$AL$15,1,FALSE))=TRUE,IF(CP158&lt;&gt;"",IF(CP158&gt;0,RANK(CP158,$CP$111:$CP$300),""),""),"")</f>
      </c>
      <c s="75">
        <f>IF(ISERROR(VLOOKUP(CV158,$AL$8:$AL$15,1,FALSE))=TRUE,IF(AND(ISERROR(FIND("NeighMkt",$CX$102))=FALSE,LEFT($CW$111,10)="ALL OUTLET",$CA158&lt;&gt;"",DJ158&lt;&gt;""),"",IF(AND($CV158&lt;&gt;$CW158,$CW158=CR$110),$DJ158,"")),"")</f>
      </c>
      <c s="76">
        <f>IF(ISERROR(VLOOKUP(CV158,$AL$8:$AL$15,1,FALSE))=TRUE,IF(CR158&lt;&gt;"",IF(CR158&gt;0,RANK(CR158,$CR$111:$CR$300),""),""),"")</f>
      </c>
      <c s="75">
        <f>IF(ISERROR(VLOOKUP(CV158,$AL$8:$AL$15,1,FALSE))=TRUE,IF(AND(ISERROR(FIND("NeighMkt",$CX$102))=FALSE,LEFT($CW$111,10)="ALL OUTLET",$CA158&lt;&gt;"",DJ158&lt;&gt;""),"",IF($Z$4="",IF(AND($CV158&lt;&gt;$CW158,$CW158=CT$110),$DJ158,""),IF(AND($CV158&lt;&gt;$CW158,$CW158&lt;&gt;CN$110,$CW158&lt;&gt;CP$110,$CW158&lt;&gt;CR$110,$CW158&lt;&gt;$CV$111),$DJ158,""))),"")</f>
      </c>
      <c s="76">
        <f>IF(ISERROR(VLOOKUP(CV158,$AL$8:$AL$15,1,FALSE))=TRUE,IF(CT158&lt;&gt;"",IF(CT158&gt;0,RANK(CT158,$CT$111:$CT$300),""),""),"")</f>
      </c>
      <c s="65" t="str">
        <f t="shared" si="2"/>
        <v>Harris Teeter</v>
      </c>
      <c s="65" t="str">
        <f t="shared" si="3"/>
        <v>GroceryX</v>
      </c>
      <c s="72" t="str">
        <f>IF('[1]Leakage Tree Data'!A57&lt;&gt;"",'[1]Leakage Tree Data'!A57,"")</f>
        <v>Total US - Harris Teeter</v>
      </c>
      <c s="72" t="str">
        <f>IF('[1]Leakage Tree Data'!B57&lt;&gt;"",'[1]Leakage Tree Data'!B57,"")</f>
        <v>Total US - GroceryX</v>
      </c>
      <c s="72">
        <f>IF('[1]Leakage Tree Data'!C57&lt;&gt;"",'[1]Leakage Tree Data'!C57,"")</f>
        <v>121171760.292236</v>
      </c>
      <c s="72">
        <f>IF('[1]Leakage Tree Data'!D57&lt;&gt;"",'[1]Leakage Tree Data'!D57,"")</f>
        <v>3629198.23297119</v>
      </c>
      <c s="72">
        <f>IF('[1]Leakage Tree Data'!E57&lt;&gt;"",'[1]Leakage Tree Data'!E57,"")</f>
        <v>2.99508583866279</v>
      </c>
      <c s="72">
        <f>IF('[1]Leakage Tree Data'!F57&lt;&gt;"",'[1]Leakage Tree Data'!F57,"")</f>
        <v>117542562.059265</v>
      </c>
      <c s="72">
        <f>IF('[1]Leakage Tree Data'!G57&lt;&gt;"",'[1]Leakage Tree Data'!G57,"")</f>
        <v>97.0049141613372</v>
      </c>
      <c s="72">
        <f>IF('[1]Leakage Tree Data'!H57&lt;&gt;"",'[1]Leakage Tree Data'!H57,"")</f>
        <v>61518209.9918823</v>
      </c>
      <c s="72" t="str">
        <f>IF('[1]Leakage Tree Data'!I57&lt;&gt;"",'[1]Leakage Tree Data'!I57,"")</f>
        <v>GroceryX</v>
      </c>
      <c s="72">
        <f>IF('[1]Leakage Tree Data'!J57&lt;&gt;"",'[1]Leakage Tree Data'!J57,"")</f>
        <v>98.7143448407329</v>
      </c>
      <c s="72">
        <f>IF('[1]Leakage Tree Data'!K57&lt;&gt;"",'[1]Leakage Tree Data'!K57,"")</f>
        <v>790912.040649414</v>
      </c>
      <c s="72">
        <f>IF('[1]Leakage Tree Data'!L57&lt;&gt;"",'[1]Leakage Tree Data'!L57,"")</f>
        <v>3025774.49697876</v>
      </c>
      <c s="72">
        <f>IF('[1]Leakage Tree Data'!M57&lt;&gt;"",'[1]Leakage Tree Data'!M57,"")</f>
        <v>9557434.60745239</v>
      </c>
      <c s="72">
        <f>IF('[1]Leakage Tree Data'!N57&lt;&gt;"",'[1]Leakage Tree Data'!N57,"")</f>
        <v>3025774.49697876</v>
      </c>
      <c s="72">
        <f>IF('[1]Leakage Tree Data'!O57&lt;&gt;"",'[1]Leakage Tree Data'!O57,"")</f>
        <v>35.0812408589327</v>
      </c>
      <c s="72">
        <f>IF('[1]Leakage Tree Data'!P57&lt;&gt;"",'[1]Leakage Tree Data'!P57,"")</f>
        <v>906384.188359792</v>
      </c>
      <c s="72">
        <f>IF('[1]Leakage Tree Data'!Q57&lt;&gt;"",'[1]Leakage Tree Data'!Q57,"")</f>
      </c>
      <c s="72">
        <f>IF('[1]Leakage Tree Data'!R57&lt;&gt;"",'[1]Leakage Tree Data'!R57,"")</f>
        <v>1017625.85098267</v>
      </c>
      <c s="72">
        <f>IF('[1]Leakage Tree Data'!S57&lt;&gt;"",'[1]Leakage Tree Data'!S57,"")</f>
        <v>-33519.8814086914</v>
      </c>
      <c s="72">
        <f>IF('[1]Leakage Tree Data'!T57&lt;&gt;"",'[1]Leakage Tree Data'!T57,"")</f>
        <v>-0.0532637927605686</v>
      </c>
      <c s="72">
        <f>IF('[1]Leakage Tree Data'!U57&lt;&gt;"",'[1]Leakage Tree Data'!U57,"")</f>
        <v>1051145.73239136</v>
      </c>
      <c s="72">
        <f>IF('[1]Leakage Tree Data'!V57&lt;&gt;"",'[1]Leakage Tree Data'!V57,"")</f>
        <v>0.0532637927605748</v>
      </c>
      <c s="72">
        <f>IF('[1]Leakage Tree Data'!W57&lt;&gt;"",'[1]Leakage Tree Data'!W57,"")</f>
        <v>-1855949.2237854</v>
      </c>
      <c s="72">
        <f>IF('[1]Leakage Tree Data'!X57&lt;&gt;"",'[1]Leakage Tree Data'!X57,"")</f>
      </c>
      <c s="72">
        <f>IF('[1]Leakage Tree Data'!Y57&lt;&gt;"",'[1]Leakage Tree Data'!Y57,"")</f>
        <v>0.331817523034346</v>
      </c>
      <c s="72">
        <f>IF('[1]Leakage Tree Data'!Z57&lt;&gt;"",'[1]Leakage Tree Data'!Z57,"")</f>
        <v>-234147.672302246</v>
      </c>
      <c s="72">
        <f>IF('[1]Leakage Tree Data'!AA57&lt;&gt;"",'[1]Leakage Tree Data'!AA57,"")</f>
        <v>-2493205.2724762</v>
      </c>
      <c s="72">
        <f>IF('[1]Leakage Tree Data'!AB57&lt;&gt;"",'[1]Leakage Tree Data'!AB57,"")</f>
        <v>-4219328.19812965</v>
      </c>
      <c s="72">
        <f>IF('[1]Leakage Tree Data'!AC57&lt;&gt;"",'[1]Leakage Tree Data'!AC57,"")</f>
        <v>-2493205.2724762</v>
      </c>
      <c s="72">
        <f>IF('[1]Leakage Tree Data'!AD57&lt;&gt;"",'[1]Leakage Tree Data'!AD57,"")</f>
        <v>-6.14414928220185</v>
      </c>
      <c s="72">
        <f>IF('[1]Leakage Tree Data'!AE57&lt;&gt;"",'[1]Leakage Tree Data'!AE57,"")</f>
      </c>
      <c s="73">
        <f t="shared" si="11"/>
      </c>
      <c s="73">
        <f t="shared" si="12"/>
      </c>
      <c s="73">
        <f t="shared" si="13"/>
      </c>
      <c s="73">
        <f t="shared" si="14"/>
      </c>
      <c s="74">
        <f t="shared" si="15"/>
      </c>
      <c s="74">
        <f t="shared" si="16"/>
      </c>
      <c s="69" t="str">
        <f t="shared" si="0"/>
        <v>Total US - Harris Teeter</v>
      </c>
      <c s="69" t="str">
        <f t="shared" si="1"/>
        <v>Total US - GroceryX</v>
      </c>
      <c s="77"/>
    </row>
    <row r="159" spans="1:141" ht="15">
      <c r="A1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159,$AL$8:$AL$15,1,FALSE))=TRUE,IF(AND(CV159=CW159,CV159&lt;&gt;"",DI$111&lt;&gt;"",DK159&lt;&gt;""),IF(CW$101="Y",DK159-IF(ISERROR(VLOOKUP(CV159,$CA$113:$DK$300,37,FALSE))=TRUE,0,IF(VLOOKUP(CV159,$CA$113:$DK$300,37,FALSE)="",0,VLOOKUP(CV159,$CA$113:$DK$300,37,FALSE))),DK159-IF(AND(CW$102="Y",CV159=$CW$111),DI$111,0)),""),"")</f>
      </c>
      <c s="76">
        <f>IF(ISERROR(VLOOKUP(CV159,$AL$8:$AL$15,1,FALSE))=TRUE,IF(CB159&lt;&gt;"",IF(CB159&gt;0,IF(Z$4&lt;&gt;"",MIN(4,RANK(CB159,$CB$111:$CB$300)),RANK(CB159,$CB$111:$CB$300)),""),""),"")</f>
      </c>
      <c s="75">
        <f>IF(ISERROR(VLOOKUP(CV159,$AL$8:$AL$15,1,FALSE))=TRUE,IF(AND(ISERROR(FIND("NeighMkt",$CX$102))=FALSE,LEFT($CW$111,10)="ALL OUTLET",$CA159&lt;&gt;"",DK159&lt;&gt;""),"",IF(AND($CV159&lt;&gt;$CW159,$CW159=CD$110),$DK159,"")),"")</f>
        <v>2732599.72670937</v>
      </c>
      <c s="76">
        <f>IF(ISERROR(VLOOKUP(CV159,$AL$8:$AL$15,1,FALSE))=TRUE,IF(CD159&lt;&gt;"",IF(CD159&gt;0,RANK(CD159,$CD$111:$CD$300),""),""),"")</f>
        <v>18</v>
      </c>
      <c s="75">
        <f>IF(ISERROR(VLOOKUP(CV159,$AL$8:$AL$15,1,FALSE))=TRUE,IF(AND(ISERROR(FIND("NeighMkt",$CX$102))=FALSE,LEFT($CW$111,10)="ALL OUTLET",$CA159&lt;&gt;"",DK159&lt;&gt;""),"",IF(AND($CV159&lt;&gt;$CW159,$CW159=CF$110),$DK159,"")),"")</f>
      </c>
      <c s="76">
        <f>IF(ISERROR(VLOOKUP(CV159,$AL$8:$AL$15,1,FALSE))=TRUE,IF(CF159&lt;&gt;"",IF(CF159&gt;0,RANK(CF159,$CF$111:$CF$300),""),""),"")</f>
      </c>
      <c s="75">
        <f>IF(ISERROR(VLOOKUP(CV159,$AL$8:$AL$15,1,FALSE))=TRUE,IF(AND(ISERROR(FIND("NeighMkt",$CX$102))=FALSE,LEFT($CW$111,10)="ALL OUTLET",$CA159&lt;&gt;"",DK159&lt;&gt;""),"",IF(AND($CV159&lt;&gt;$CW159,$CW159=CH$110),$DK159,"")),"")</f>
      </c>
      <c s="76">
        <f>IF(ISERROR(VLOOKUP(CV159,$AL$8:$AL$15,1,FALSE))=TRUE,IF(CH159&lt;&gt;"",IF(CH159&gt;0,RANK(CH159,$CH$111:$CH$300),""),""),"")</f>
      </c>
      <c s="75">
        <f>IF(ISERROR(VLOOKUP(CV159,$AL$8:$AL$15,1,FALSE))=TRUE,IF(AND(ISERROR(FIND("NeighMkt",$CX$102))=FALSE,LEFT($CW$111,10)="ALL OUTLET",$CA159&lt;&gt;"",DK159&lt;&gt;""),"",IF($Z$4="",IF(AND($CV159&lt;&gt;$CW159,$CW159=CJ$110),$DK159,""),IF(AND($CV159&lt;&gt;$CW159,$CW159&lt;&gt;CD$110,$CW159&lt;&gt;CF$110,$CW159&lt;&gt;CH$110,$CW159&lt;&gt;$CV$111),$DK159,""))),"")</f>
      </c>
      <c s="76">
        <f>IF(ISERROR(VLOOKUP(CV159,$AL$8:$AL$15,1,FALSE))=TRUE,IF(CJ159&lt;&gt;"",IF(CJ159&gt;0,RANK(CJ159,$CJ$111:$CJ$300),""),""),"")</f>
      </c>
      <c s="75">
        <f>IF(ISERROR(VLOOKUP(CV159,$AL$8:$AL$15,1,FALSE))=TRUE,IF(AND(CV159=CW159,CV159&lt;&gt;"",DJ159&lt;&gt;""),IF(AND(ISERROR(FIND("NeighMkt",$CX$102))=FALSE,LEFT($CW$111,10)="ALL OUTLET"),DJ159-IF(ISERROR(VLOOKUP(CV159,$CA$113:$DK$300,36,FALSE))=TRUE,0,IF(VLOOKUP(CV159,$CA$113:$DK$300,36,FALSE)="",0,VLOOKUP(CV159,$CA$113:$DK$300,36,FALSE))),DJ159),""),"")</f>
      </c>
      <c s="76">
        <f>IF(ISERROR(VLOOKUP(CV159,$AL$8:$AL$15,1,FALSE))=TRUE,IF(CL159&lt;&gt;"",IF(CL159&gt;0,IF($Z$4&lt;&gt;"",MIN(4,RANK(CL159,$CL$111:$CL$300)),RANK(CL159,$CL$111:$CL$300)),""),""),"")</f>
      </c>
      <c s="75">
        <f>IF(ISERROR(VLOOKUP(CV159,$AL$8:$AL$15,1,FALSE))=TRUE,IF(AND(ISERROR(FIND("NeighMkt",$CX$102))=FALSE,LEFT($CW$111,10)="ALL OUTLET",$CA159&lt;&gt;"",DJ159&lt;&gt;""),"",IF(AND($CV159&lt;&gt;$CW159,$CW159=CN$110),$DJ159,"")),"")</f>
        <v>7831112.85582352</v>
      </c>
      <c s="76">
        <f>IF(ISERROR(VLOOKUP(CV159,$AL$8:$AL$15,1,FALSE))=TRUE,IF(CN159&lt;&gt;"",IF(CN159&gt;0,RANK(CN159,$CN$111:$CN$300),""),""),"")</f>
        <v>19</v>
      </c>
      <c s="75">
        <f>IF(ISERROR(VLOOKUP(CV159,$AL$8:$AL$15,1,FALSE))=TRUE,IF(AND(ISERROR(FIND("NeighMkt",$CX$102))=FALSE,LEFT($CW$111,10)="ALL OUTLET",$CA159&lt;&gt;"",DJ159&lt;&gt;""),"",IF(AND($CV159&lt;&gt;$CW159,$CW159=CP$110),$DJ159,"")),"")</f>
      </c>
      <c s="76">
        <f>IF(ISERROR(VLOOKUP(CV159,$AL$8:$AL$15,1,FALSE))=TRUE,IF(CP159&lt;&gt;"",IF(CP159&gt;0,RANK(CP159,$CP$111:$CP$300),""),""),"")</f>
      </c>
      <c s="75">
        <f>IF(ISERROR(VLOOKUP(CV159,$AL$8:$AL$15,1,FALSE))=TRUE,IF(AND(ISERROR(FIND("NeighMkt",$CX$102))=FALSE,LEFT($CW$111,10)="ALL OUTLET",$CA159&lt;&gt;"",DJ159&lt;&gt;""),"",IF(AND($CV159&lt;&gt;$CW159,$CW159=CR$110),$DJ159,"")),"")</f>
      </c>
      <c s="76">
        <f>IF(ISERROR(VLOOKUP(CV159,$AL$8:$AL$15,1,FALSE))=TRUE,IF(CR159&lt;&gt;"",IF(CR159&gt;0,RANK(CR159,$CR$111:$CR$300),""),""),"")</f>
      </c>
      <c s="75">
        <f>IF(ISERROR(VLOOKUP(CV159,$AL$8:$AL$15,1,FALSE))=TRUE,IF(AND(ISERROR(FIND("NeighMkt",$CX$102))=FALSE,LEFT($CW$111,10)="ALL OUTLET",$CA159&lt;&gt;"",DJ159&lt;&gt;""),"",IF($Z$4="",IF(AND($CV159&lt;&gt;$CW159,$CW159=CT$110),$DJ159,""),IF(AND($CV159&lt;&gt;$CW159,$CW159&lt;&gt;CN$110,$CW159&lt;&gt;CP$110,$CW159&lt;&gt;CR$110,$CW159&lt;&gt;$CV$111),$DJ159,""))),"")</f>
      </c>
      <c s="76">
        <f>IF(ISERROR(VLOOKUP(CV159,$AL$8:$AL$15,1,FALSE))=TRUE,IF(CT159&lt;&gt;"",IF(CT159&gt;0,RANK(CT159,$CT$111:$CT$300),""),""),"")</f>
      </c>
      <c s="65" t="str">
        <f t="shared" si="2"/>
        <v>Hy Vee</v>
      </c>
      <c s="65" t="str">
        <f t="shared" si="3"/>
        <v>GroceryX</v>
      </c>
      <c s="72" t="str">
        <f>IF('[1]Leakage Tree Data'!A58&lt;&gt;"",'[1]Leakage Tree Data'!A58,"")</f>
        <v>Total US - Hy Vee</v>
      </c>
      <c s="72" t="str">
        <f>IF('[1]Leakage Tree Data'!B58&lt;&gt;"",'[1]Leakage Tree Data'!B58,"")</f>
        <v>Total US - GroceryX</v>
      </c>
      <c s="72">
        <f>IF('[1]Leakage Tree Data'!C58&lt;&gt;"",'[1]Leakage Tree Data'!C58,"")</f>
        <v>121171760.292236</v>
      </c>
      <c s="72">
        <f>IF('[1]Leakage Tree Data'!D58&lt;&gt;"",'[1]Leakage Tree Data'!D58,"")</f>
        <v>4025455.64093018</v>
      </c>
      <c s="72">
        <f>IF('[1]Leakage Tree Data'!E58&lt;&gt;"",'[1]Leakage Tree Data'!E58,"")</f>
        <v>3.32210709097712</v>
      </c>
      <c s="72">
        <f>IF('[1]Leakage Tree Data'!F58&lt;&gt;"",'[1]Leakage Tree Data'!F58,"")</f>
        <v>117146304.651306</v>
      </c>
      <c s="72">
        <f>IF('[1]Leakage Tree Data'!G58&lt;&gt;"",'[1]Leakage Tree Data'!G58,"")</f>
        <v>96.6778929090229</v>
      </c>
      <c s="72">
        <f>IF('[1]Leakage Tree Data'!H58&lt;&gt;"",'[1]Leakage Tree Data'!H58,"")</f>
        <v>61518209.9918823</v>
      </c>
      <c s="72" t="str">
        <f>IF('[1]Leakage Tree Data'!I58&lt;&gt;"",'[1]Leakage Tree Data'!I58,"")</f>
        <v>GroceryX</v>
      </c>
      <c s="72">
        <f>IF('[1]Leakage Tree Data'!J58&lt;&gt;"",'[1]Leakage Tree Data'!J58,"")</f>
        <v>98.8007380619261</v>
      </c>
      <c s="72">
        <f>IF('[1]Leakage Tree Data'!K58&lt;&gt;"",'[1]Leakage Tree Data'!K58,"")</f>
        <v>737764.477416992</v>
      </c>
      <c s="72">
        <f>IF('[1]Leakage Tree Data'!L58&lt;&gt;"",'[1]Leakage Tree Data'!L58,"")</f>
        <v>2732599.72670937</v>
      </c>
      <c s="72">
        <f>IF('[1]Leakage Tree Data'!M58&lt;&gt;"",'[1]Leakage Tree Data'!M58,"")</f>
        <v>7831112.85582352</v>
      </c>
      <c s="72">
        <f>IF('[1]Leakage Tree Data'!N58&lt;&gt;"",'[1]Leakage Tree Data'!N58,"")</f>
        <v>2732599.72670937</v>
      </c>
      <c s="72">
        <f>IF('[1]Leakage Tree Data'!O58&lt;&gt;"",'[1]Leakage Tree Data'!O58,"")</f>
        <v>34.1786277042415</v>
      </c>
      <c s="72">
        <f>IF('[1]Leakage Tree Data'!P58&lt;&gt;"",'[1]Leakage Tree Data'!P58,"")</f>
        <v>745088.180940713</v>
      </c>
      <c s="72">
        <f>IF('[1]Leakage Tree Data'!Q58&lt;&gt;"",'[1]Leakage Tree Data'!Q58,"")</f>
      </c>
      <c s="72">
        <f>IF('[1]Leakage Tree Data'!R58&lt;&gt;"",'[1]Leakage Tree Data'!R58,"")</f>
        <v>1017625.85098267</v>
      </c>
      <c s="72">
        <f>IF('[1]Leakage Tree Data'!S58&lt;&gt;"",'[1]Leakage Tree Data'!S58,"")</f>
        <v>99814.1549987793</v>
      </c>
      <c s="72">
        <f>IF('[1]Leakage Tree Data'!T58&lt;&gt;"",'[1]Leakage Tree Data'!T58,"")</f>
        <v>0.0549357163202235</v>
      </c>
      <c s="72">
        <f>IF('[1]Leakage Tree Data'!U58&lt;&gt;"",'[1]Leakage Tree Data'!U58,"")</f>
        <v>917811.695983887</v>
      </c>
      <c s="72">
        <f>IF('[1]Leakage Tree Data'!V58&lt;&gt;"",'[1]Leakage Tree Data'!V58,"")</f>
        <v>-0.054935716320216</v>
      </c>
      <c s="72">
        <f>IF('[1]Leakage Tree Data'!W58&lt;&gt;"",'[1]Leakage Tree Data'!W58,"")</f>
        <v>-1855949.2237854</v>
      </c>
      <c s="72">
        <f>IF('[1]Leakage Tree Data'!X58&lt;&gt;"",'[1]Leakage Tree Data'!X58,"")</f>
      </c>
      <c s="72">
        <f>IF('[1]Leakage Tree Data'!Y58&lt;&gt;"",'[1]Leakage Tree Data'!Y58,"")</f>
        <v>0.198036092336295</v>
      </c>
      <c s="72">
        <f>IF('[1]Leakage Tree Data'!Z58&lt;&gt;"",'[1]Leakage Tree Data'!Z58,"")</f>
        <v>-147761.401092529</v>
      </c>
      <c s="72">
        <f>IF('[1]Leakage Tree Data'!AA58&lt;&gt;"",'[1]Leakage Tree Data'!AA58,"")</f>
        <v>-1122718.6492672</v>
      </c>
      <c s="72">
        <f>IF('[1]Leakage Tree Data'!AB58&lt;&gt;"",'[1]Leakage Tree Data'!AB58,"")</f>
        <v>-2957644.71671677</v>
      </c>
      <c s="72">
        <f>IF('[1]Leakage Tree Data'!AC58&lt;&gt;"",'[1]Leakage Tree Data'!AC58,"")</f>
        <v>-1122718.6492672</v>
      </c>
      <c s="72">
        <f>IF('[1]Leakage Tree Data'!AD58&lt;&gt;"",'[1]Leakage Tree Data'!AD58,"")</f>
        <v>-4.15804944131837</v>
      </c>
      <c s="72">
        <f>IF('[1]Leakage Tree Data'!AE58&lt;&gt;"",'[1]Leakage Tree Data'!AE58,"")</f>
      </c>
      <c s="73">
        <f t="shared" si="11"/>
      </c>
      <c s="73">
        <f t="shared" si="12"/>
      </c>
      <c s="73">
        <f t="shared" si="13"/>
      </c>
      <c s="73">
        <f t="shared" si="14"/>
      </c>
      <c s="74">
        <f t="shared" si="15"/>
      </c>
      <c s="74">
        <f t="shared" si="16"/>
      </c>
      <c s="69" t="str">
        <f t="shared" si="0"/>
        <v>Total US - Hy Vee</v>
      </c>
      <c s="69" t="str">
        <f t="shared" si="1"/>
        <v>Total US - GroceryX</v>
      </c>
      <c s="77"/>
    </row>
    <row r="160" spans="1:141" ht="15">
      <c r="A16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160,$AL$8:$AL$15,1,FALSE))=TRUE,IF(AND(CV160=CW160,CV160&lt;&gt;"",DI$111&lt;&gt;"",DK160&lt;&gt;""),IF(CW$101="Y",DK160-IF(ISERROR(VLOOKUP(CV160,$CA$113:$DK$300,37,FALSE))=TRUE,0,IF(VLOOKUP(CV160,$CA$113:$DK$300,37,FALSE)="",0,VLOOKUP(CV160,$CA$113:$DK$300,37,FALSE))),DK160-IF(AND(CW$102="Y",CV160=$CW$111),DI$111,0)),""),"")</f>
      </c>
      <c s="76">
        <f>IF(ISERROR(VLOOKUP(CV160,$AL$8:$AL$15,1,FALSE))=TRUE,IF(CB160&lt;&gt;"",IF(CB160&gt;0,IF(Z$4&lt;&gt;"",MIN(4,RANK(CB160,$CB$111:$CB$300)),RANK(CB160,$CB$111:$CB$300)),""),""),"")</f>
      </c>
      <c s="75">
        <f>IF(ISERROR(VLOOKUP(CV160,$AL$8:$AL$15,1,FALSE))=TRUE,IF(AND(ISERROR(FIND("NeighMkt",$CX$102))=FALSE,LEFT($CW$111,10)="ALL OUTLET",$CA160&lt;&gt;"",DK160&lt;&gt;""),"",IF(AND($CV160&lt;&gt;$CW160,$CW160=CD$110),$DK160,"")),"")</f>
      </c>
      <c s="76">
        <f>IF(ISERROR(VLOOKUP(CV160,$AL$8:$AL$15,1,FALSE))=TRUE,IF(CD160&lt;&gt;"",IF(CD160&gt;0,RANK(CD160,$CD$111:$CD$300),""),""),"")</f>
      </c>
      <c s="75">
        <f>IF(ISERROR(VLOOKUP(CV160,$AL$8:$AL$15,1,FALSE))=TRUE,IF(AND(ISERROR(FIND("NeighMkt",$CX$102))=FALSE,LEFT($CW$111,10)="ALL OUTLET",$CA160&lt;&gt;"",DK160&lt;&gt;""),"",IF(AND($CV160&lt;&gt;$CW160,$CW160=CF$110),$DK160,"")),"")</f>
      </c>
      <c s="76">
        <f>IF(ISERROR(VLOOKUP(CV160,$AL$8:$AL$15,1,FALSE))=TRUE,IF(CF160&lt;&gt;"",IF(CF160&gt;0,RANK(CF160,$CF$111:$CF$300),""),""),"")</f>
      </c>
      <c s="75">
        <f>IF(ISERROR(VLOOKUP(CV160,$AL$8:$AL$15,1,FALSE))=TRUE,IF(AND(ISERROR(FIND("NeighMkt",$CX$102))=FALSE,LEFT($CW$111,10)="ALL OUTLET",$CA160&lt;&gt;"",DK160&lt;&gt;""),"",IF(AND($CV160&lt;&gt;$CW160,$CW160=CH$110),$DK160,"")),"")</f>
      </c>
      <c s="76">
        <f>IF(ISERROR(VLOOKUP(CV160,$AL$8:$AL$15,1,FALSE))=TRUE,IF(CH160&lt;&gt;"",IF(CH160&gt;0,RANK(CH160,$CH$111:$CH$300),""),""),"")</f>
      </c>
      <c s="75">
        <f>IF(ISERROR(VLOOKUP(CV160,$AL$8:$AL$15,1,FALSE))=TRUE,IF(AND(ISERROR(FIND("NeighMkt",$CX$102))=FALSE,LEFT($CW$111,10)="ALL OUTLET",$CA160&lt;&gt;"",DK160&lt;&gt;""),"",IF($Z$4="",IF(AND($CV160&lt;&gt;$CW160,$CW160=CJ$110),$DK160,""),IF(AND($CV160&lt;&gt;$CW160,$CW160&lt;&gt;CD$110,$CW160&lt;&gt;CF$110,$CW160&lt;&gt;CH$110,$CW160&lt;&gt;$CV$111),$DK160,""))),"")</f>
      </c>
      <c s="76">
        <f>IF(ISERROR(VLOOKUP(CV160,$AL$8:$AL$15,1,FALSE))=TRUE,IF(CJ160&lt;&gt;"",IF(CJ160&gt;0,RANK(CJ160,$CJ$111:$CJ$300),""),""),"")</f>
      </c>
      <c s="75">
        <f>IF(ISERROR(VLOOKUP(CV160,$AL$8:$AL$15,1,FALSE))=TRUE,IF(AND(CV160=CW160,CV160&lt;&gt;"",DJ160&lt;&gt;""),IF(AND(ISERROR(FIND("NeighMkt",$CX$102))=FALSE,LEFT($CW$111,10)="ALL OUTLET"),DJ160-IF(ISERROR(VLOOKUP(CV160,$CA$113:$DK$300,36,FALSE))=TRUE,0,IF(VLOOKUP(CV160,$CA$113:$DK$300,36,FALSE)="",0,VLOOKUP(CV160,$CA$113:$DK$300,36,FALSE))),DJ160),""),"")</f>
      </c>
      <c s="76">
        <f>IF(ISERROR(VLOOKUP(CV160,$AL$8:$AL$15,1,FALSE))=TRUE,IF(CL160&lt;&gt;"",IF(CL160&gt;0,IF($Z$4&lt;&gt;"",MIN(4,RANK(CL160,$CL$111:$CL$300)),RANK(CL160,$CL$111:$CL$300)),""),""),"")</f>
      </c>
      <c s="75">
        <f>IF(ISERROR(VLOOKUP(CV160,$AL$8:$AL$15,1,FALSE))=TRUE,IF(AND(ISERROR(FIND("NeighMkt",$CX$102))=FALSE,LEFT($CW$111,10)="ALL OUTLET",$CA160&lt;&gt;"",DJ160&lt;&gt;""),"",IF(AND($CV160&lt;&gt;$CW160,$CW160=CN$110),$DJ160,"")),"")</f>
        <v>1545643.74975586</v>
      </c>
      <c s="76">
        <f>IF(ISERROR(VLOOKUP(CV160,$AL$8:$AL$15,1,FALSE))=TRUE,IF(CN160&lt;&gt;"",IF(CN160&gt;0,RANK(CN160,$CN$111:$CN$300),""),""),"")</f>
        <v>47</v>
      </c>
      <c s="75">
        <f>IF(ISERROR(VLOOKUP(CV160,$AL$8:$AL$15,1,FALSE))=TRUE,IF(AND(ISERROR(FIND("NeighMkt",$CX$102))=FALSE,LEFT($CW$111,10)="ALL OUTLET",$CA160&lt;&gt;"",DJ160&lt;&gt;""),"",IF(AND($CV160&lt;&gt;$CW160,$CW160=CP$110),$DJ160,"")),"")</f>
      </c>
      <c s="76">
        <f>IF(ISERROR(VLOOKUP(CV160,$AL$8:$AL$15,1,FALSE))=TRUE,IF(CP160&lt;&gt;"",IF(CP160&gt;0,RANK(CP160,$CP$111:$CP$300),""),""),"")</f>
      </c>
      <c s="75">
        <f>IF(ISERROR(VLOOKUP(CV160,$AL$8:$AL$15,1,FALSE))=TRUE,IF(AND(ISERROR(FIND("NeighMkt",$CX$102))=FALSE,LEFT($CW$111,10)="ALL OUTLET",$CA160&lt;&gt;"",DJ160&lt;&gt;""),"",IF(AND($CV160&lt;&gt;$CW160,$CW160=CR$110),$DJ160,"")),"")</f>
      </c>
      <c s="76">
        <f>IF(ISERROR(VLOOKUP(CV160,$AL$8:$AL$15,1,FALSE))=TRUE,IF(CR160&lt;&gt;"",IF(CR160&gt;0,RANK(CR160,$CR$111:$CR$300),""),""),"")</f>
      </c>
      <c s="75">
        <f>IF(ISERROR(VLOOKUP(CV160,$AL$8:$AL$15,1,FALSE))=TRUE,IF(AND(ISERROR(FIND("NeighMkt",$CX$102))=FALSE,LEFT($CW$111,10)="ALL OUTLET",$CA160&lt;&gt;"",DJ160&lt;&gt;""),"",IF($Z$4="",IF(AND($CV160&lt;&gt;$CW160,$CW160=CT$110),$DJ160,""),IF(AND($CV160&lt;&gt;$CW160,$CW160&lt;&gt;CN$110,$CW160&lt;&gt;CP$110,$CW160&lt;&gt;CR$110,$CW160&lt;&gt;$CV$111),$DJ160,""))),"")</f>
      </c>
      <c s="76">
        <f>IF(ISERROR(VLOOKUP(CV160,$AL$8:$AL$15,1,FALSE))=TRUE,IF(CT160&lt;&gt;"",IF(CT160&gt;0,RANK(CT160,$CT$111:$CT$300),""),""),"")</f>
      </c>
      <c s="65" t="str">
        <f t="shared" si="2"/>
        <v>IGA</v>
      </c>
      <c s="65" t="str">
        <f t="shared" si="3"/>
        <v>GroceryX</v>
      </c>
      <c s="72" t="str">
        <f>IF('[1]Leakage Tree Data'!A59&lt;&gt;"",'[1]Leakage Tree Data'!A59,"")</f>
        <v>Total US - IGA</v>
      </c>
      <c s="72" t="str">
        <f>IF('[1]Leakage Tree Data'!B59&lt;&gt;"",'[1]Leakage Tree Data'!B59,"")</f>
        <v>Total US - GroceryX</v>
      </c>
      <c s="72">
        <f>IF('[1]Leakage Tree Data'!C59&lt;&gt;"",'[1]Leakage Tree Data'!C59,"")</f>
        <v>121171760.292236</v>
      </c>
      <c s="72">
        <f>IF('[1]Leakage Tree Data'!D59&lt;&gt;"",'[1]Leakage Tree Data'!D59,"")</f>
        <v>3742891.87548828</v>
      </c>
      <c s="72">
        <f>IF('[1]Leakage Tree Data'!E59&lt;&gt;"",'[1]Leakage Tree Data'!E59,"")</f>
        <v>3.08891433652639</v>
      </c>
      <c s="72">
        <f>IF('[1]Leakage Tree Data'!F59&lt;&gt;"",'[1]Leakage Tree Data'!F59,"")</f>
        <v>117428868.416748</v>
      </c>
      <c s="72">
        <f>IF('[1]Leakage Tree Data'!G59&lt;&gt;"",'[1]Leakage Tree Data'!G59,"")</f>
        <v>96.9110856634736</v>
      </c>
      <c s="72">
        <f>IF('[1]Leakage Tree Data'!H59&lt;&gt;"",'[1]Leakage Tree Data'!H59,"")</f>
        <v>61518209.9918823</v>
      </c>
      <c s="72" t="str">
        <f>IF('[1]Leakage Tree Data'!I59&lt;&gt;"",'[1]Leakage Tree Data'!I59,"")</f>
        <v>GroceryX</v>
      </c>
      <c s="72">
        <f>IF('[1]Leakage Tree Data'!J59&lt;&gt;"",'[1]Leakage Tree Data'!J59,"")</f>
        <v>99.7857376541342</v>
      </c>
      <c s="72">
        <f>IF('[1]Leakage Tree Data'!K59&lt;&gt;"",'[1]Leakage Tree Data'!K59,"")</f>
        <v>131810.359863281</v>
      </c>
      <c s="72">
        <f>IF('[1]Leakage Tree Data'!L59&lt;&gt;"",'[1]Leakage Tree Data'!L59,"")</f>
      </c>
      <c s="72">
        <f>IF('[1]Leakage Tree Data'!M59&lt;&gt;"",'[1]Leakage Tree Data'!M59,"")</f>
        <v>1545643.74975586</v>
      </c>
      <c s="72">
        <f>IF('[1]Leakage Tree Data'!N59&lt;&gt;"",'[1]Leakage Tree Data'!N59,"")</f>
      </c>
      <c s="72">
        <f>IF('[1]Leakage Tree Data'!O59&lt;&gt;"",'[1]Leakage Tree Data'!O59,"")</f>
        <v>15.1571181912986</v>
      </c>
      <c s="72">
        <f>IF('[1]Leakage Tree Data'!P59&lt;&gt;"",'[1]Leakage Tree Data'!P59,"")</f>
        <v>377000.322038612</v>
      </c>
      <c s="72">
        <f>IF('[1]Leakage Tree Data'!Q59&lt;&gt;"",'[1]Leakage Tree Data'!Q59,"")</f>
      </c>
      <c s="72">
        <f>IF('[1]Leakage Tree Data'!R59&lt;&gt;"",'[1]Leakage Tree Data'!R59,"")</f>
        <v>1017625.85098267</v>
      </c>
      <c s="72">
        <f>IF('[1]Leakage Tree Data'!S59&lt;&gt;"",'[1]Leakage Tree Data'!S59,"")</f>
        <v>-198431.645935059</v>
      </c>
      <c s="72">
        <f>IF('[1]Leakage Tree Data'!T59&lt;&gt;"",'[1]Leakage Tree Data'!T59,"")</f>
        <v>-0.191308636866464</v>
      </c>
      <c s="72">
        <f>IF('[1]Leakage Tree Data'!U59&lt;&gt;"",'[1]Leakage Tree Data'!U59,"")</f>
        <v>1216057.49691772</v>
      </c>
      <c s="72">
        <f>IF('[1]Leakage Tree Data'!V59&lt;&gt;"",'[1]Leakage Tree Data'!V59,"")</f>
        <v>0.191308636866466</v>
      </c>
      <c s="72">
        <f>IF('[1]Leakage Tree Data'!W59&lt;&gt;"",'[1]Leakage Tree Data'!W59,"")</f>
        <v>-1855949.2237854</v>
      </c>
      <c s="72">
        <f>IF('[1]Leakage Tree Data'!X59&lt;&gt;"",'[1]Leakage Tree Data'!X59,"")</f>
      </c>
      <c s="72">
        <f>IF('[1]Leakage Tree Data'!Y59&lt;&gt;"",'[1]Leakage Tree Data'!Y59,"")</f>
        <v>0.0277569425100239</v>
      </c>
      <c s="72">
        <f>IF('[1]Leakage Tree Data'!Z59&lt;&gt;"",'[1]Leakage Tree Data'!Z59,"")</f>
        <v>-21567.329284668</v>
      </c>
      <c s="72">
        <f>IF('[1]Leakage Tree Data'!AA59&lt;&gt;"",'[1]Leakage Tree Data'!AA59,"")</f>
      </c>
      <c s="72">
        <f>IF('[1]Leakage Tree Data'!AB59&lt;&gt;"",'[1]Leakage Tree Data'!AB59,"")</f>
        <v>174176.504585266</v>
      </c>
      <c s="72">
        <f>IF('[1]Leakage Tree Data'!AC59&lt;&gt;"",'[1]Leakage Tree Data'!AC59,"")</f>
      </c>
      <c s="72">
        <f>IF('[1]Leakage Tree Data'!AD59&lt;&gt;"",'[1]Leakage Tree Data'!AD59,"")</f>
        <v>2.41589858130165</v>
      </c>
      <c s="72">
        <f>IF('[1]Leakage Tree Data'!AE59&lt;&gt;"",'[1]Leakage Tree Data'!AE59,"")</f>
      </c>
      <c s="73">
        <f t="shared" si="11"/>
      </c>
      <c s="73">
        <f t="shared" si="12"/>
      </c>
      <c s="73">
        <f t="shared" si="13"/>
      </c>
      <c s="73">
        <f t="shared" si="14"/>
      </c>
      <c s="74">
        <f t="shared" si="15"/>
      </c>
      <c s="74">
        <f t="shared" si="16"/>
      </c>
      <c s="69" t="str">
        <f t="shared" si="0"/>
        <v>Total US - IGA</v>
      </c>
      <c s="69" t="str">
        <f t="shared" si="1"/>
        <v>Total US - GroceryX</v>
      </c>
      <c s="77"/>
    </row>
    <row r="161" spans="1:141" ht="15">
      <c r="A16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161,$AL$8:$AL$15,1,FALSE))=TRUE,IF(AND(CV161=CW161,CV161&lt;&gt;"",DI$111&lt;&gt;"",DK161&lt;&gt;""),IF(CW$101="Y",DK161-IF(ISERROR(VLOOKUP(CV161,$CA$113:$DK$300,37,FALSE))=TRUE,0,IF(VLOOKUP(CV161,$CA$113:$DK$300,37,FALSE)="",0,VLOOKUP(CV161,$CA$113:$DK$300,37,FALSE))),DK161-IF(AND(CW$102="Y",CV161=$CW$111),DI$111,0)),""),"")</f>
      </c>
      <c s="76">
        <f>IF(ISERROR(VLOOKUP(CV161,$AL$8:$AL$15,1,FALSE))=TRUE,IF(CB161&lt;&gt;"",IF(CB161&gt;0,IF(Z$4&lt;&gt;"",MIN(4,RANK(CB161,$CB$111:$CB$300)),RANK(CB161,$CB$111:$CB$300)),""),""),"")</f>
      </c>
      <c s="75">
        <f>IF(ISERROR(VLOOKUP(CV161,$AL$8:$AL$15,1,FALSE))=TRUE,IF(AND(ISERROR(FIND("NeighMkt",$CX$102))=FALSE,LEFT($CW$111,10)="ALL OUTLET",$CA161&lt;&gt;"",DK161&lt;&gt;""),"",IF(AND($CV161&lt;&gt;$CW161,$CW161=CD$110),$DK161,"")),"")</f>
      </c>
      <c s="76">
        <f>IF(ISERROR(VLOOKUP(CV161,$AL$8:$AL$15,1,FALSE))=TRUE,IF(CD161&lt;&gt;"",IF(CD161&gt;0,RANK(CD161,$CD$111:$CD$300),""),""),"")</f>
      </c>
      <c s="75">
        <f>IF(ISERROR(VLOOKUP(CV161,$AL$8:$AL$15,1,FALSE))=TRUE,IF(AND(ISERROR(FIND("NeighMkt",$CX$102))=FALSE,LEFT($CW$111,10)="ALL OUTLET",$CA161&lt;&gt;"",DK161&lt;&gt;""),"",IF(AND($CV161&lt;&gt;$CW161,$CW161=CF$110),$DK161,"")),"")</f>
      </c>
      <c s="76">
        <f>IF(ISERROR(VLOOKUP(CV161,$AL$8:$AL$15,1,FALSE))=TRUE,IF(CF161&lt;&gt;"",IF(CF161&gt;0,RANK(CF161,$CF$111:$CF$300),""),""),"")</f>
      </c>
      <c s="75">
        <f>IF(ISERROR(VLOOKUP(CV161,$AL$8:$AL$15,1,FALSE))=TRUE,IF(AND(ISERROR(FIND("NeighMkt",$CX$102))=FALSE,LEFT($CW$111,10)="ALL OUTLET",$CA161&lt;&gt;"",DK161&lt;&gt;""),"",IF(AND($CV161&lt;&gt;$CW161,$CW161=CH$110),$DK161,"")),"")</f>
      </c>
      <c s="76">
        <f>IF(ISERROR(VLOOKUP(CV161,$AL$8:$AL$15,1,FALSE))=TRUE,IF(CH161&lt;&gt;"",IF(CH161&gt;0,RANK(CH161,$CH$111:$CH$300),""),""),"")</f>
      </c>
      <c s="75">
        <f>IF(ISERROR(VLOOKUP(CV161,$AL$8:$AL$15,1,FALSE))=TRUE,IF(AND(ISERROR(FIND("NeighMkt",$CX$102))=FALSE,LEFT($CW$111,10)="ALL OUTLET",$CA161&lt;&gt;"",DK161&lt;&gt;""),"",IF($Z$4="",IF(AND($CV161&lt;&gt;$CW161,$CW161=CJ$110),$DK161,""),IF(AND($CV161&lt;&gt;$CW161,$CW161&lt;&gt;CD$110,$CW161&lt;&gt;CF$110,$CW161&lt;&gt;CH$110,$CW161&lt;&gt;$CV$111),$DK161,""))),"")</f>
      </c>
      <c s="76">
        <f>IF(ISERROR(VLOOKUP(CV161,$AL$8:$AL$15,1,FALSE))=TRUE,IF(CJ161&lt;&gt;"",IF(CJ161&gt;0,RANK(CJ161,$CJ$111:$CJ$300),""),""),"")</f>
      </c>
      <c s="75">
        <f>IF(ISERROR(VLOOKUP(CV161,$AL$8:$AL$15,1,FALSE))=TRUE,IF(AND(CV161=CW161,CV161&lt;&gt;"",DJ161&lt;&gt;""),IF(AND(ISERROR(FIND("NeighMkt",$CX$102))=FALSE,LEFT($CW$111,10)="ALL OUTLET"),DJ161-IF(ISERROR(VLOOKUP(CV161,$CA$113:$DK$300,36,FALSE))=TRUE,0,IF(VLOOKUP(CV161,$CA$113:$DK$300,36,FALSE)="",0,VLOOKUP(CV161,$CA$113:$DK$300,36,FALSE))),DJ161),""),"")</f>
      </c>
      <c s="76">
        <f>IF(ISERROR(VLOOKUP(CV161,$AL$8:$AL$15,1,FALSE))=TRUE,IF(CL161&lt;&gt;"",IF(CL161&gt;0,IF($Z$4&lt;&gt;"",MIN(4,RANK(CL161,$CL$111:$CL$300)),RANK(CL161,$CL$111:$CL$300)),""),""),"")</f>
      </c>
      <c s="75">
        <f>IF(ISERROR(VLOOKUP(CV161,$AL$8:$AL$15,1,FALSE))=TRUE,IF(AND(ISERROR(FIND("NeighMkt",$CX$102))=FALSE,LEFT($CW$111,10)="ALL OUTLET",$CA161&lt;&gt;"",DJ161&lt;&gt;""),"",IF(AND($CV161&lt;&gt;$CW161,$CW161=CN$110),$DJ161,"")),"")</f>
        <v>1722219.08666992</v>
      </c>
      <c s="76">
        <f>IF(ISERROR(VLOOKUP(CV161,$AL$8:$AL$15,1,FALSE))=TRUE,IF(CN161&lt;&gt;"",IF(CN161&gt;0,RANK(CN161,$CN$111:$CN$300),""),""),"")</f>
        <v>45</v>
      </c>
      <c s="75">
        <f>IF(ISERROR(VLOOKUP(CV161,$AL$8:$AL$15,1,FALSE))=TRUE,IF(AND(ISERROR(FIND("NeighMkt",$CX$102))=FALSE,LEFT($CW$111,10)="ALL OUTLET",$CA161&lt;&gt;"",DJ161&lt;&gt;""),"",IF(AND($CV161&lt;&gt;$CW161,$CW161=CP$110),$DJ161,"")),"")</f>
      </c>
      <c s="76">
        <f>IF(ISERROR(VLOOKUP(CV161,$AL$8:$AL$15,1,FALSE))=TRUE,IF(CP161&lt;&gt;"",IF(CP161&gt;0,RANK(CP161,$CP$111:$CP$300),""),""),"")</f>
      </c>
      <c s="75">
        <f>IF(ISERROR(VLOOKUP(CV161,$AL$8:$AL$15,1,FALSE))=TRUE,IF(AND(ISERROR(FIND("NeighMkt",$CX$102))=FALSE,LEFT($CW$111,10)="ALL OUTLET",$CA161&lt;&gt;"",DJ161&lt;&gt;""),"",IF(AND($CV161&lt;&gt;$CW161,$CW161=CR$110),$DJ161,"")),"")</f>
      </c>
      <c s="76">
        <f>IF(ISERROR(VLOOKUP(CV161,$AL$8:$AL$15,1,FALSE))=TRUE,IF(CR161&lt;&gt;"",IF(CR161&gt;0,RANK(CR161,$CR$111:$CR$300),""),""),"")</f>
      </c>
      <c s="75">
        <f>IF(ISERROR(VLOOKUP(CV161,$AL$8:$AL$15,1,FALSE))=TRUE,IF(AND(ISERROR(FIND("NeighMkt",$CX$102))=FALSE,LEFT($CW$111,10)="ALL OUTLET",$CA161&lt;&gt;"",DJ161&lt;&gt;""),"",IF($Z$4="",IF(AND($CV161&lt;&gt;$CW161,$CW161=CT$110),$DJ161,""),IF(AND($CV161&lt;&gt;$CW161,$CW161&lt;&gt;CN$110,$CW161&lt;&gt;CP$110,$CW161&lt;&gt;CR$110,$CW161&lt;&gt;$CV$111),$DJ161,""))),"")</f>
      </c>
      <c s="76">
        <f>IF(ISERROR(VLOOKUP(CV161,$AL$8:$AL$15,1,FALSE))=TRUE,IF(CT161&lt;&gt;"",IF(CT161&gt;0,RANK(CT161,$CT$111:$CT$300),""),""),"")</f>
      </c>
      <c s="65" t="str">
        <f t="shared" si="2"/>
        <v>Ingles</v>
      </c>
      <c s="65" t="str">
        <f t="shared" si="3"/>
        <v>GroceryX</v>
      </c>
      <c s="72" t="str">
        <f>IF('[1]Leakage Tree Data'!A60&lt;&gt;"",'[1]Leakage Tree Data'!A60,"")</f>
        <v>Total US - Ingles</v>
      </c>
      <c s="72" t="str">
        <f>IF('[1]Leakage Tree Data'!B60&lt;&gt;"",'[1]Leakage Tree Data'!B60,"")</f>
        <v>Total US - GroceryX</v>
      </c>
      <c s="72">
        <f>IF('[1]Leakage Tree Data'!C60&lt;&gt;"",'[1]Leakage Tree Data'!C60,"")</f>
        <v>121171760.292236</v>
      </c>
      <c s="72">
        <f>IF('[1]Leakage Tree Data'!D60&lt;&gt;"",'[1]Leakage Tree Data'!D60,"")</f>
        <v>1800848.00463867</v>
      </c>
      <c s="72">
        <f>IF('[1]Leakage Tree Data'!E60&lt;&gt;"",'[1]Leakage Tree Data'!E60,"")</f>
        <v>1.48619447327948</v>
      </c>
      <c s="72">
        <f>IF('[1]Leakage Tree Data'!F60&lt;&gt;"",'[1]Leakage Tree Data'!F60,"")</f>
        <v>119370912.287598</v>
      </c>
      <c s="72">
        <f>IF('[1]Leakage Tree Data'!G60&lt;&gt;"",'[1]Leakage Tree Data'!G60,"")</f>
        <v>98.5138055267205</v>
      </c>
      <c s="72">
        <f>IF('[1]Leakage Tree Data'!H60&lt;&gt;"",'[1]Leakage Tree Data'!H60,"")</f>
        <v>61518209.9918823</v>
      </c>
      <c s="72" t="str">
        <f>IF('[1]Leakage Tree Data'!I60&lt;&gt;"",'[1]Leakage Tree Data'!I60,"")</f>
        <v>GroceryX</v>
      </c>
      <c s="72">
        <f>IF('[1]Leakage Tree Data'!J60&lt;&gt;"",'[1]Leakage Tree Data'!J60,"")</f>
        <v>99.7114125873131</v>
      </c>
      <c s="72">
        <f>IF('[1]Leakage Tree Data'!K60&lt;&gt;"",'[1]Leakage Tree Data'!K60,"")</f>
        <v>177533.810546875</v>
      </c>
      <c s="72">
        <f>IF('[1]Leakage Tree Data'!L60&lt;&gt;"",'[1]Leakage Tree Data'!L60,"")</f>
      </c>
      <c s="72">
        <f>IF('[1]Leakage Tree Data'!M60&lt;&gt;"",'[1]Leakage Tree Data'!M60,"")</f>
        <v>1722219.08666992</v>
      </c>
      <c s="72">
        <f>IF('[1]Leakage Tree Data'!N60&lt;&gt;"",'[1]Leakage Tree Data'!N60,"")</f>
      </c>
      <c s="72">
        <f>IF('[1]Leakage Tree Data'!O60&lt;&gt;"",'[1]Leakage Tree Data'!O60,"")</f>
        <v>26.2376176963178</v>
      </c>
      <c s="72">
        <f>IF('[1]Leakage Tree Data'!P60&lt;&gt;"",'[1]Leakage Tree Data'!P60,"")</f>
        <v>240553.279521168</v>
      </c>
      <c s="72">
        <f>IF('[1]Leakage Tree Data'!Q60&lt;&gt;"",'[1]Leakage Tree Data'!Q60,"")</f>
      </c>
      <c s="72">
        <f>IF('[1]Leakage Tree Data'!R60&lt;&gt;"",'[1]Leakage Tree Data'!R60,"")</f>
        <v>1017625.85098267</v>
      </c>
      <c s="72">
        <f>IF('[1]Leakage Tree Data'!S60&lt;&gt;"",'[1]Leakage Tree Data'!S60,"")</f>
        <v>-72288.3602294922</v>
      </c>
      <c s="72">
        <f>IF('[1]Leakage Tree Data'!T60&lt;&gt;"",'[1]Leakage Tree Data'!T60,"")</f>
        <v>-0.072750105347559</v>
      </c>
      <c s="72">
        <f>IF('[1]Leakage Tree Data'!U60&lt;&gt;"",'[1]Leakage Tree Data'!U60,"")</f>
        <v>1089914.21121216</v>
      </c>
      <c s="72">
        <f>IF('[1]Leakage Tree Data'!V60&lt;&gt;"",'[1]Leakage Tree Data'!V60,"")</f>
        <v>0.0727501053475521</v>
      </c>
      <c s="72">
        <f>IF('[1]Leakage Tree Data'!W60&lt;&gt;"",'[1]Leakage Tree Data'!W60,"")</f>
        <v>-1855949.2237854</v>
      </c>
      <c s="72">
        <f>IF('[1]Leakage Tree Data'!X60&lt;&gt;"",'[1]Leakage Tree Data'!X60,"")</f>
      </c>
      <c s="72">
        <f>IF('[1]Leakage Tree Data'!Y60&lt;&gt;"",'[1]Leakage Tree Data'!Y60,"")</f>
        <v>0.064924990888116</v>
      </c>
      <c s="72">
        <f>IF('[1]Leakage Tree Data'!Z60&lt;&gt;"",'[1]Leakage Tree Data'!Z60,"")</f>
        <v>-46501.7029418945</v>
      </c>
      <c s="72">
        <f>IF('[1]Leakage Tree Data'!AA60&lt;&gt;"",'[1]Leakage Tree Data'!AA60,"")</f>
      </c>
      <c s="72">
        <f>IF('[1]Leakage Tree Data'!AB60&lt;&gt;"",'[1]Leakage Tree Data'!AB60,"")</f>
        <v>-510002.31539917</v>
      </c>
      <c s="72">
        <f>IF('[1]Leakage Tree Data'!AC60&lt;&gt;"",'[1]Leakage Tree Data'!AC60,"")</f>
      </c>
      <c s="72">
        <f>IF('[1]Leakage Tree Data'!AD60&lt;&gt;"",'[1]Leakage Tree Data'!AD60,"")</f>
        <v>-2.75342419270258</v>
      </c>
      <c s="72">
        <f>IF('[1]Leakage Tree Data'!AE60&lt;&gt;"",'[1]Leakage Tree Data'!AE60,"")</f>
      </c>
      <c s="73">
        <f t="shared" si="11"/>
      </c>
      <c s="73">
        <f t="shared" si="12"/>
      </c>
      <c s="73">
        <f t="shared" si="13"/>
      </c>
      <c s="73">
        <f t="shared" si="14"/>
      </c>
      <c s="74">
        <f t="shared" si="15"/>
      </c>
      <c s="74">
        <f t="shared" si="16"/>
      </c>
      <c s="69" t="str">
        <f t="shared" si="0"/>
        <v>Total US - Ingles</v>
      </c>
      <c s="69" t="str">
        <f t="shared" si="1"/>
        <v>Total US - GroceryX</v>
      </c>
      <c s="77"/>
    </row>
    <row r="162" spans="1:141" ht="15">
      <c r="A16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162,$AL$8:$AL$15,1,FALSE))=TRUE,IF(AND(CV162=CW162,CV162&lt;&gt;"",DI$111&lt;&gt;"",DK162&lt;&gt;""),IF(CW$101="Y",DK162-IF(ISERROR(VLOOKUP(CV162,$CA$113:$DK$300,37,FALSE))=TRUE,0,IF(VLOOKUP(CV162,$CA$113:$DK$300,37,FALSE)="",0,VLOOKUP(CV162,$CA$113:$DK$300,37,FALSE))),DK162-IF(AND(CW$102="Y",CV162=$CW$111),DI$111,0)),""),"")</f>
      </c>
      <c s="76">
        <f>IF(ISERROR(VLOOKUP(CV162,$AL$8:$AL$15,1,FALSE))=TRUE,IF(CB162&lt;&gt;"",IF(CB162&gt;0,IF(Z$4&lt;&gt;"",MIN(4,RANK(CB162,$CB$111:$CB$300)),RANK(CB162,$CB$111:$CB$300)),""),""),"")</f>
      </c>
      <c s="75">
        <f>IF(ISERROR(VLOOKUP(CV162,$AL$8:$AL$15,1,FALSE))=TRUE,IF(AND(ISERROR(FIND("NeighMkt",$CX$102))=FALSE,LEFT($CW$111,10)="ALL OUTLET",$CA162&lt;&gt;"",DK162&lt;&gt;""),"",IF(AND($CV162&lt;&gt;$CW162,$CW162=CD$110),$DK162,"")),"")</f>
        <v>3738478.30619812</v>
      </c>
      <c s="76">
        <f>IF(ISERROR(VLOOKUP(CV162,$AL$8:$AL$15,1,FALSE))=TRUE,IF(CD162&lt;&gt;"",IF(CD162&gt;0,RANK(CD162,$CD$111:$CD$300),""),""),"")</f>
        <v>12</v>
      </c>
      <c s="75">
        <f>IF(ISERROR(VLOOKUP(CV162,$AL$8:$AL$15,1,FALSE))=TRUE,IF(AND(ISERROR(FIND("NeighMkt",$CX$102))=FALSE,LEFT($CW$111,10)="ALL OUTLET",$CA162&lt;&gt;"",DK162&lt;&gt;""),"",IF(AND($CV162&lt;&gt;$CW162,$CW162=CF$110),$DK162,"")),"")</f>
      </c>
      <c s="76">
        <f>IF(ISERROR(VLOOKUP(CV162,$AL$8:$AL$15,1,FALSE))=TRUE,IF(CF162&lt;&gt;"",IF(CF162&gt;0,RANK(CF162,$CF$111:$CF$300),""),""),"")</f>
      </c>
      <c s="75">
        <f>IF(ISERROR(VLOOKUP(CV162,$AL$8:$AL$15,1,FALSE))=TRUE,IF(AND(ISERROR(FIND("NeighMkt",$CX$102))=FALSE,LEFT($CW$111,10)="ALL OUTLET",$CA162&lt;&gt;"",DK162&lt;&gt;""),"",IF(AND($CV162&lt;&gt;$CW162,$CW162=CH$110),$DK162,"")),"")</f>
      </c>
      <c s="76">
        <f>IF(ISERROR(VLOOKUP(CV162,$AL$8:$AL$15,1,FALSE))=TRUE,IF(CH162&lt;&gt;"",IF(CH162&gt;0,RANK(CH162,$CH$111:$CH$300),""),""),"")</f>
      </c>
      <c s="75">
        <f>IF(ISERROR(VLOOKUP(CV162,$AL$8:$AL$15,1,FALSE))=TRUE,IF(AND(ISERROR(FIND("NeighMkt",$CX$102))=FALSE,LEFT($CW$111,10)="ALL OUTLET",$CA162&lt;&gt;"",DK162&lt;&gt;""),"",IF($Z$4="",IF(AND($CV162&lt;&gt;$CW162,$CW162=CJ$110),$DK162,""),IF(AND($CV162&lt;&gt;$CW162,$CW162&lt;&gt;CD$110,$CW162&lt;&gt;CF$110,$CW162&lt;&gt;CH$110,$CW162&lt;&gt;$CV$111),$DK162,""))),"")</f>
      </c>
      <c s="76">
        <f>IF(ISERROR(VLOOKUP(CV162,$AL$8:$AL$15,1,FALSE))=TRUE,IF(CJ162&lt;&gt;"",IF(CJ162&gt;0,RANK(CJ162,$CJ$111:$CJ$300),""),""),"")</f>
      </c>
      <c s="75">
        <f>IF(ISERROR(VLOOKUP(CV162,$AL$8:$AL$15,1,FALSE))=TRUE,IF(AND(CV162=CW162,CV162&lt;&gt;"",DJ162&lt;&gt;""),IF(AND(ISERROR(FIND("NeighMkt",$CX$102))=FALSE,LEFT($CW$111,10)="ALL OUTLET"),DJ162-IF(ISERROR(VLOOKUP(CV162,$CA$113:$DK$300,36,FALSE))=TRUE,0,IF(VLOOKUP(CV162,$CA$113:$DK$300,36,FALSE)="",0,VLOOKUP(CV162,$CA$113:$DK$300,36,FALSE))),DJ162),""),"")</f>
      </c>
      <c s="76">
        <f>IF(ISERROR(VLOOKUP(CV162,$AL$8:$AL$15,1,FALSE))=TRUE,IF(CL162&lt;&gt;"",IF(CL162&gt;0,IF($Z$4&lt;&gt;"",MIN(4,RANK(CL162,$CL$111:$CL$300)),RANK(CL162,$CL$111:$CL$300)),""),""),"")</f>
      </c>
      <c s="75">
        <f>IF(ISERROR(VLOOKUP(CV162,$AL$8:$AL$15,1,FALSE))=TRUE,IF(AND(ISERROR(FIND("NeighMkt",$CX$102))=FALSE,LEFT($CW$111,10)="ALL OUTLET",$CA162&lt;&gt;"",DJ162&lt;&gt;""),"",IF(AND($CV162&lt;&gt;$CW162,$CW162=CN$110),$DJ162,"")),"")</f>
        <v>5374722.99682617</v>
      </c>
      <c s="76">
        <f>IF(ISERROR(VLOOKUP(CV162,$AL$8:$AL$15,1,FALSE))=TRUE,IF(CN162&lt;&gt;"",IF(CN162&gt;0,RANK(CN162,$CN$111:$CN$300),""),""),"")</f>
        <v>29</v>
      </c>
      <c s="75">
        <f>IF(ISERROR(VLOOKUP(CV162,$AL$8:$AL$15,1,FALSE))=TRUE,IF(AND(ISERROR(FIND("NeighMkt",$CX$102))=FALSE,LEFT($CW$111,10)="ALL OUTLET",$CA162&lt;&gt;"",DJ162&lt;&gt;""),"",IF(AND($CV162&lt;&gt;$CW162,$CW162=CP$110),$DJ162,"")),"")</f>
      </c>
      <c s="76">
        <f>IF(ISERROR(VLOOKUP(CV162,$AL$8:$AL$15,1,FALSE))=TRUE,IF(CP162&lt;&gt;"",IF(CP162&gt;0,RANK(CP162,$CP$111:$CP$300),""),""),"")</f>
      </c>
      <c s="75">
        <f>IF(ISERROR(VLOOKUP(CV162,$AL$8:$AL$15,1,FALSE))=TRUE,IF(AND(ISERROR(FIND("NeighMkt",$CX$102))=FALSE,LEFT($CW$111,10)="ALL OUTLET",$CA162&lt;&gt;"",DJ162&lt;&gt;""),"",IF(AND($CV162&lt;&gt;$CW162,$CW162=CR$110),$DJ162,"")),"")</f>
      </c>
      <c s="76">
        <f>IF(ISERROR(VLOOKUP(CV162,$AL$8:$AL$15,1,FALSE))=TRUE,IF(CR162&lt;&gt;"",IF(CR162&gt;0,RANK(CR162,$CR$111:$CR$300),""),""),"")</f>
      </c>
      <c s="75">
        <f>IF(ISERROR(VLOOKUP(CV162,$AL$8:$AL$15,1,FALSE))=TRUE,IF(AND(ISERROR(FIND("NeighMkt",$CX$102))=FALSE,LEFT($CW$111,10)="ALL OUTLET",$CA162&lt;&gt;"",DJ162&lt;&gt;""),"",IF($Z$4="",IF(AND($CV162&lt;&gt;$CW162,$CW162=CT$110),$DJ162,""),IF(AND($CV162&lt;&gt;$CW162,$CW162&lt;&gt;CN$110,$CW162&lt;&gt;CP$110,$CW162&lt;&gt;CR$110,$CW162&lt;&gt;$CV$111),$DJ162,""))),"")</f>
      </c>
      <c s="76">
        <f>IF(ISERROR(VLOOKUP(CV162,$AL$8:$AL$15,1,FALSE))=TRUE,IF(CT162&lt;&gt;"",IF(CT162&gt;0,RANK(CT162,$CT$111:$CT$300),""),""),"")</f>
      </c>
      <c s="65" t="str">
        <f t="shared" si="2"/>
        <v>Jewel</v>
      </c>
      <c s="65" t="str">
        <f t="shared" si="3"/>
        <v>GroceryX</v>
      </c>
      <c s="72" t="str">
        <f>IF('[1]Leakage Tree Data'!A61&lt;&gt;"",'[1]Leakage Tree Data'!A61,"")</f>
        <v>Total US - Jewel</v>
      </c>
      <c s="72" t="str">
        <f>IF('[1]Leakage Tree Data'!B61&lt;&gt;"",'[1]Leakage Tree Data'!B61,"")</f>
        <v>Total US - GroceryX</v>
      </c>
      <c s="72">
        <f>IF('[1]Leakage Tree Data'!C61&lt;&gt;"",'[1]Leakage Tree Data'!C61,"")</f>
        <v>121171760.292236</v>
      </c>
      <c s="72">
        <f>IF('[1]Leakage Tree Data'!D61&lt;&gt;"",'[1]Leakage Tree Data'!D61,"")</f>
        <v>3058066.26049805</v>
      </c>
      <c s="72">
        <f>IF('[1]Leakage Tree Data'!E61&lt;&gt;"",'[1]Leakage Tree Data'!E61,"")</f>
        <v>2.52374501544151</v>
      </c>
      <c s="72">
        <f>IF('[1]Leakage Tree Data'!F61&lt;&gt;"",'[1]Leakage Tree Data'!F61,"")</f>
        <v>118113694.031738</v>
      </c>
      <c s="72">
        <f>IF('[1]Leakage Tree Data'!G61&lt;&gt;"",'[1]Leakage Tree Data'!G61,"")</f>
        <v>97.4762549845585</v>
      </c>
      <c s="72">
        <f>IF('[1]Leakage Tree Data'!H61&lt;&gt;"",'[1]Leakage Tree Data'!H61,"")</f>
        <v>61518209.9918823</v>
      </c>
      <c s="72" t="str">
        <f>IF('[1]Leakage Tree Data'!I61&lt;&gt;"",'[1]Leakage Tree Data'!I61,"")</f>
        <v>GroceryX</v>
      </c>
      <c s="72">
        <f>IF('[1]Leakage Tree Data'!J61&lt;&gt;"",'[1]Leakage Tree Data'!J61,"")</f>
        <v>98.9241067991514</v>
      </c>
      <c s="72">
        <f>IF('[1]Leakage Tree Data'!K61&lt;&gt;"",'[1]Leakage Tree Data'!K61,"")</f>
        <v>661870.238586426</v>
      </c>
      <c s="72">
        <f>IF('[1]Leakage Tree Data'!L61&lt;&gt;"",'[1]Leakage Tree Data'!L61,"")</f>
        <v>3738478.30619812</v>
      </c>
      <c s="72">
        <f>IF('[1]Leakage Tree Data'!M61&lt;&gt;"",'[1]Leakage Tree Data'!M61,"")</f>
        <v>5374722.99682617</v>
      </c>
      <c s="72">
        <f>IF('[1]Leakage Tree Data'!N61&lt;&gt;"",'[1]Leakage Tree Data'!N61,"")</f>
        <v>3738478.30619812</v>
      </c>
      <c s="72">
        <f>IF('[1]Leakage Tree Data'!O61&lt;&gt;"",'[1]Leakage Tree Data'!O61,"")</f>
        <v>31.8681595173164</v>
      </c>
      <c s="72">
        <f>IF('[1]Leakage Tree Data'!P61&lt;&gt;"",'[1]Leakage Tree Data'!P61,"")</f>
        <v>587621.90018539</v>
      </c>
      <c s="72">
        <f>IF('[1]Leakage Tree Data'!Q61&lt;&gt;"",'[1]Leakage Tree Data'!Q61,"")</f>
      </c>
      <c s="72">
        <f>IF('[1]Leakage Tree Data'!R61&lt;&gt;"",'[1]Leakage Tree Data'!R61,"")</f>
        <v>1017625.85098267</v>
      </c>
      <c s="72">
        <f>IF('[1]Leakage Tree Data'!S61&lt;&gt;"",'[1]Leakage Tree Data'!S61,"")</f>
        <v>-66055.815032959</v>
      </c>
      <c s="72">
        <f>IF('[1]Leakage Tree Data'!T61&lt;&gt;"",'[1]Leakage Tree Data'!T61,"")</f>
        <v>-0.0763503454538483</v>
      </c>
      <c s="72">
        <f>IF('[1]Leakage Tree Data'!U61&lt;&gt;"",'[1]Leakage Tree Data'!U61,"")</f>
        <v>1083681.66601563</v>
      </c>
      <c s="72">
        <f>IF('[1]Leakage Tree Data'!V61&lt;&gt;"",'[1]Leakage Tree Data'!V61,"")</f>
        <v>0.0763503454538466</v>
      </c>
      <c s="72">
        <f>IF('[1]Leakage Tree Data'!W61&lt;&gt;"",'[1]Leakage Tree Data'!W61,"")</f>
        <v>-1855949.2237854</v>
      </c>
      <c s="72">
        <f>IF('[1]Leakage Tree Data'!X61&lt;&gt;"",'[1]Leakage Tree Data'!X61,"")</f>
      </c>
      <c s="72">
        <f>IF('[1]Leakage Tree Data'!Y61&lt;&gt;"",'[1]Leakage Tree Data'!Y61,"")</f>
        <v>-0.118880025297187</v>
      </c>
      <c s="72">
        <f>IF('[1]Leakage Tree Data'!Z61&lt;&gt;"",'[1]Leakage Tree Data'!Z61,"")</f>
        <v>55371.1849975586</v>
      </c>
      <c s="72">
        <f>IF('[1]Leakage Tree Data'!AA61&lt;&gt;"",'[1]Leakage Tree Data'!AA61,"")</f>
        <v>692444.35824585</v>
      </c>
      <c s="72">
        <f>IF('[1]Leakage Tree Data'!AB61&lt;&gt;"",'[1]Leakage Tree Data'!AB61,"")</f>
        <v>991684.990919113</v>
      </c>
      <c s="72">
        <f>IF('[1]Leakage Tree Data'!AC61&lt;&gt;"",'[1]Leakage Tree Data'!AC61,"")</f>
        <v>692444.35824585</v>
      </c>
      <c s="72">
        <f>IF('[1]Leakage Tree Data'!AD61&lt;&gt;"",'[1]Leakage Tree Data'!AD61,"")</f>
        <v>2.89670873116464</v>
      </c>
      <c s="72">
        <f>IF('[1]Leakage Tree Data'!AE61&lt;&gt;"",'[1]Leakage Tree Data'!AE61,"")</f>
      </c>
      <c s="73">
        <f t="shared" si="11"/>
      </c>
      <c s="73">
        <f t="shared" si="12"/>
      </c>
      <c s="73">
        <f t="shared" si="13"/>
      </c>
      <c s="73">
        <f t="shared" si="14"/>
      </c>
      <c s="74">
        <f t="shared" si="15"/>
      </c>
      <c s="74">
        <f t="shared" si="16"/>
      </c>
      <c s="69" t="str">
        <f t="shared" si="0"/>
        <v>Total US - Jewel</v>
      </c>
      <c s="69" t="str">
        <f t="shared" si="1"/>
        <v>Total US - GroceryX</v>
      </c>
      <c s="77"/>
    </row>
    <row r="163" spans="1:141" ht="15">
      <c r="A16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163,$AL$8:$AL$15,1,FALSE))=TRUE,IF(AND(CV163=CW163,CV163&lt;&gt;"",DI$111&lt;&gt;"",DK163&lt;&gt;""),IF(CW$101="Y",DK163-IF(ISERROR(VLOOKUP(CV163,$CA$113:$DK$300,37,FALSE))=TRUE,0,IF(VLOOKUP(CV163,$CA$113:$DK$300,37,FALSE)="",0,VLOOKUP(CV163,$CA$113:$DK$300,37,FALSE))),DK163-IF(AND(CW$102="Y",CV163=$CW$111),DI$111,0)),""),"")</f>
      </c>
      <c s="76">
        <f>IF(ISERROR(VLOOKUP(CV163,$AL$8:$AL$15,1,FALSE))=TRUE,IF(CB163&lt;&gt;"",IF(CB163&gt;0,IF(Z$4&lt;&gt;"",MIN(4,RANK(CB163,$CB$111:$CB$300)),RANK(CB163,$CB$111:$CB$300)),""),""),"")</f>
      </c>
      <c s="75">
        <f>IF(ISERROR(VLOOKUP(CV163,$AL$8:$AL$15,1,FALSE))=TRUE,IF(AND(ISERROR(FIND("NeighMkt",$CX$102))=FALSE,LEFT($CW$111,10)="ALL OUTLET",$CA163&lt;&gt;"",DK163&lt;&gt;""),"",IF(AND($CV163&lt;&gt;$CW163,$CW163=CD$110),$DK163,"")),"")</f>
        <v>2070869.37606812</v>
      </c>
      <c s="76">
        <f>IF(ISERROR(VLOOKUP(CV163,$AL$8:$AL$15,1,FALSE))=TRUE,IF(CD163&lt;&gt;"",IF(CD163&gt;0,RANK(CD163,$CD$111:$CD$300),""),""),"")</f>
        <v>22</v>
      </c>
      <c s="75">
        <f>IF(ISERROR(VLOOKUP(CV163,$AL$8:$AL$15,1,FALSE))=TRUE,IF(AND(ISERROR(FIND("NeighMkt",$CX$102))=FALSE,LEFT($CW$111,10)="ALL OUTLET",$CA163&lt;&gt;"",DK163&lt;&gt;""),"",IF(AND($CV163&lt;&gt;$CW163,$CW163=CF$110),$DK163,"")),"")</f>
      </c>
      <c s="76">
        <f>IF(ISERROR(VLOOKUP(CV163,$AL$8:$AL$15,1,FALSE))=TRUE,IF(CF163&lt;&gt;"",IF(CF163&gt;0,RANK(CF163,$CF$111:$CF$300),""),""),"")</f>
      </c>
      <c s="75">
        <f>IF(ISERROR(VLOOKUP(CV163,$AL$8:$AL$15,1,FALSE))=TRUE,IF(AND(ISERROR(FIND("NeighMkt",$CX$102))=FALSE,LEFT($CW$111,10)="ALL OUTLET",$CA163&lt;&gt;"",DK163&lt;&gt;""),"",IF(AND($CV163&lt;&gt;$CW163,$CW163=CH$110),$DK163,"")),"")</f>
      </c>
      <c s="76">
        <f>IF(ISERROR(VLOOKUP(CV163,$AL$8:$AL$15,1,FALSE))=TRUE,IF(CH163&lt;&gt;"",IF(CH163&gt;0,RANK(CH163,$CH$111:$CH$300),""),""),"")</f>
      </c>
      <c s="75">
        <f>IF(ISERROR(VLOOKUP(CV163,$AL$8:$AL$15,1,FALSE))=TRUE,IF(AND(ISERROR(FIND("NeighMkt",$CX$102))=FALSE,LEFT($CW$111,10)="ALL OUTLET",$CA163&lt;&gt;"",DK163&lt;&gt;""),"",IF($Z$4="",IF(AND($CV163&lt;&gt;$CW163,$CW163=CJ$110),$DK163,""),IF(AND($CV163&lt;&gt;$CW163,$CW163&lt;&gt;CD$110,$CW163&lt;&gt;CF$110,$CW163&lt;&gt;CH$110,$CW163&lt;&gt;$CV$111),$DK163,""))),"")</f>
      </c>
      <c s="76">
        <f>IF(ISERROR(VLOOKUP(CV163,$AL$8:$AL$15,1,FALSE))=TRUE,IF(CJ163&lt;&gt;"",IF(CJ163&gt;0,RANK(CJ163,$CJ$111:$CJ$300),""),""),"")</f>
      </c>
      <c s="75">
        <f>IF(ISERROR(VLOOKUP(CV163,$AL$8:$AL$15,1,FALSE))=TRUE,IF(AND(CV163=CW163,CV163&lt;&gt;"",DJ163&lt;&gt;""),IF(AND(ISERROR(FIND("NeighMkt",$CX$102))=FALSE,LEFT($CW$111,10)="ALL OUTLET"),DJ163-IF(ISERROR(VLOOKUP(CV163,$CA$113:$DK$300,36,FALSE))=TRUE,0,IF(VLOOKUP(CV163,$CA$113:$DK$300,36,FALSE)="",0,VLOOKUP(CV163,$CA$113:$DK$300,36,FALSE))),DJ163),""),"")</f>
      </c>
      <c s="76">
        <f>IF(ISERROR(VLOOKUP(CV163,$AL$8:$AL$15,1,FALSE))=TRUE,IF(CL163&lt;&gt;"",IF(CL163&gt;0,IF($Z$4&lt;&gt;"",MIN(4,RANK(CL163,$CL$111:$CL$300)),RANK(CL163,$CL$111:$CL$300)),""),""),"")</f>
      </c>
      <c s="75">
        <f>IF(ISERROR(VLOOKUP(CV163,$AL$8:$AL$15,1,FALSE))=TRUE,IF(AND(ISERROR(FIND("NeighMkt",$CX$102))=FALSE,LEFT($CW$111,10)="ALL OUTLET",$CA163&lt;&gt;"",DJ163&lt;&gt;""),"",IF(AND($CV163&lt;&gt;$CW163,$CW163=CN$110),$DJ163,"")),"")</f>
        <v>8609814.06231689</v>
      </c>
      <c s="76">
        <f>IF(ISERROR(VLOOKUP(CV163,$AL$8:$AL$15,1,FALSE))=TRUE,IF(CN163&lt;&gt;"",IF(CN163&gt;0,RANK(CN163,$CN$111:$CN$300),""),""),"")</f>
        <v>15</v>
      </c>
      <c s="75">
        <f>IF(ISERROR(VLOOKUP(CV163,$AL$8:$AL$15,1,FALSE))=TRUE,IF(AND(ISERROR(FIND("NeighMkt",$CX$102))=FALSE,LEFT($CW$111,10)="ALL OUTLET",$CA163&lt;&gt;"",DJ163&lt;&gt;""),"",IF(AND($CV163&lt;&gt;$CW163,$CW163=CP$110),$DJ163,"")),"")</f>
      </c>
      <c s="76">
        <f>IF(ISERROR(VLOOKUP(CV163,$AL$8:$AL$15,1,FALSE))=TRUE,IF(CP163&lt;&gt;"",IF(CP163&gt;0,RANK(CP163,$CP$111:$CP$300),""),""),"")</f>
      </c>
      <c s="75">
        <f>IF(ISERROR(VLOOKUP(CV163,$AL$8:$AL$15,1,FALSE))=TRUE,IF(AND(ISERROR(FIND("NeighMkt",$CX$102))=FALSE,LEFT($CW$111,10)="ALL OUTLET",$CA163&lt;&gt;"",DJ163&lt;&gt;""),"",IF(AND($CV163&lt;&gt;$CW163,$CW163=CR$110),$DJ163,"")),"")</f>
      </c>
      <c s="76">
        <f>IF(ISERROR(VLOOKUP(CV163,$AL$8:$AL$15,1,FALSE))=TRUE,IF(CR163&lt;&gt;"",IF(CR163&gt;0,RANK(CR163,$CR$111:$CR$300),""),""),"")</f>
      </c>
      <c s="75">
        <f>IF(ISERROR(VLOOKUP(CV163,$AL$8:$AL$15,1,FALSE))=TRUE,IF(AND(ISERROR(FIND("NeighMkt",$CX$102))=FALSE,LEFT($CW$111,10)="ALL OUTLET",$CA163&lt;&gt;"",DJ163&lt;&gt;""),"",IF($Z$4="",IF(AND($CV163&lt;&gt;$CW163,$CW163=CT$110),$DJ163,""),IF(AND($CV163&lt;&gt;$CW163,$CW163&lt;&gt;CN$110,$CW163&lt;&gt;CP$110,$CW163&lt;&gt;CR$110,$CW163&lt;&gt;$CV$111),$DJ163,""))),"")</f>
      </c>
      <c s="76">
        <f>IF(ISERROR(VLOOKUP(CV163,$AL$8:$AL$15,1,FALSE))=TRUE,IF(CT163&lt;&gt;"",IF(CT163&gt;0,RANK(CT163,$CT$111:$CT$300),""),""),"")</f>
      </c>
      <c s="65" t="str">
        <f t="shared" si="2"/>
        <v>King Soopers</v>
      </c>
      <c s="65" t="str">
        <f t="shared" si="3"/>
        <v>GroceryX</v>
      </c>
      <c s="72" t="str">
        <f>IF('[1]Leakage Tree Data'!A62&lt;&gt;"",'[1]Leakage Tree Data'!A62,"")</f>
        <v>Total US - King Soopers</v>
      </c>
      <c s="72" t="str">
        <f>IF('[1]Leakage Tree Data'!B62&lt;&gt;"",'[1]Leakage Tree Data'!B62,"")</f>
        <v>Total US - GroceryX</v>
      </c>
      <c s="72">
        <f>IF('[1]Leakage Tree Data'!C62&lt;&gt;"",'[1]Leakage Tree Data'!C62,"")</f>
        <v>121171760.292236</v>
      </c>
      <c s="72">
        <f>IF('[1]Leakage Tree Data'!D62&lt;&gt;"",'[1]Leakage Tree Data'!D62,"")</f>
        <v>1794326.19552612</v>
      </c>
      <c s="72">
        <f>IF('[1]Leakage Tree Data'!E62&lt;&gt;"",'[1]Leakage Tree Data'!E62,"")</f>
        <v>1.48081218858144</v>
      </c>
      <c s="72">
        <f>IF('[1]Leakage Tree Data'!F62&lt;&gt;"",'[1]Leakage Tree Data'!F62,"")</f>
        <v>119377434.09671</v>
      </c>
      <c s="72">
        <f>IF('[1]Leakage Tree Data'!G62&lt;&gt;"",'[1]Leakage Tree Data'!G62,"")</f>
        <v>98.5191878114186</v>
      </c>
      <c s="72">
        <f>IF('[1]Leakage Tree Data'!H62&lt;&gt;"",'[1]Leakage Tree Data'!H62,"")</f>
        <v>61518209.9918823</v>
      </c>
      <c s="72" t="str">
        <f>IF('[1]Leakage Tree Data'!I62&lt;&gt;"",'[1]Leakage Tree Data'!I62,"")</f>
        <v>GroceryX</v>
      </c>
      <c s="72">
        <f>IF('[1]Leakage Tree Data'!J62&lt;&gt;"",'[1]Leakage Tree Data'!J62,"")</f>
        <v>99.0207312890277</v>
      </c>
      <c s="72">
        <f>IF('[1]Leakage Tree Data'!K62&lt;&gt;"",'[1]Leakage Tree Data'!K62,"")</f>
        <v>602428.582000732</v>
      </c>
      <c s="72">
        <f>IF('[1]Leakage Tree Data'!L62&lt;&gt;"",'[1]Leakage Tree Data'!L62,"")</f>
        <v>2070869.37606812</v>
      </c>
      <c s="72">
        <f>IF('[1]Leakage Tree Data'!M62&lt;&gt;"",'[1]Leakage Tree Data'!M62,"")</f>
        <v>8609814.06231689</v>
      </c>
      <c s="72">
        <f>IF('[1]Leakage Tree Data'!N62&lt;&gt;"",'[1]Leakage Tree Data'!N62,"")</f>
        <v>2070869.37606812</v>
      </c>
      <c s="72">
        <f>IF('[1]Leakage Tree Data'!O62&lt;&gt;"",'[1]Leakage Tree Data'!O62,"")</f>
        <v>52.0372609580835</v>
      </c>
      <c s="72">
        <f>IF('[1]Leakage Tree Data'!P62&lt;&gt;"",'[1]Leakage Tree Data'!P62,"")</f>
        <v>457219.347561464</v>
      </c>
      <c s="72">
        <f>IF('[1]Leakage Tree Data'!Q62&lt;&gt;"",'[1]Leakage Tree Data'!Q62,"")</f>
      </c>
      <c s="72">
        <f>IF('[1]Leakage Tree Data'!R62&lt;&gt;"",'[1]Leakage Tree Data'!R62,"")</f>
        <v>1017625.85098267</v>
      </c>
      <c s="72">
        <f>IF('[1]Leakage Tree Data'!S62&lt;&gt;"",'[1]Leakage Tree Data'!S62,"")</f>
        <v>21374.9187316895</v>
      </c>
      <c s="72">
        <f>IF('[1]Leakage Tree Data'!T62&lt;&gt;"",'[1]Leakage Tree Data'!T62,"")</f>
        <v>0.00524808499142049</v>
      </c>
      <c s="72">
        <f>IF('[1]Leakage Tree Data'!U62&lt;&gt;"",'[1]Leakage Tree Data'!U62,"")</f>
        <v>996250.932250977</v>
      </c>
      <c s="72">
        <f>IF('[1]Leakage Tree Data'!V62&lt;&gt;"",'[1]Leakage Tree Data'!V62,"")</f>
        <v>-0.00524808499142182</v>
      </c>
      <c s="72">
        <f>IF('[1]Leakage Tree Data'!W62&lt;&gt;"",'[1]Leakage Tree Data'!W62,"")</f>
        <v>-1855949.2237854</v>
      </c>
      <c s="72">
        <f>IF('[1]Leakage Tree Data'!X62&lt;&gt;"",'[1]Leakage Tree Data'!X62,"")</f>
      </c>
      <c s="72">
        <f>IF('[1]Leakage Tree Data'!Y62&lt;&gt;"",'[1]Leakage Tree Data'!Y62,"")</f>
        <v>-0.0137849198530802</v>
      </c>
      <c s="72">
        <f>IF('[1]Leakage Tree Data'!Z62&lt;&gt;"",'[1]Leakage Tree Data'!Z62,"")</f>
        <v>-9438.65298461914</v>
      </c>
      <c s="72">
        <f>IF('[1]Leakage Tree Data'!AA62&lt;&gt;"",'[1]Leakage Tree Data'!AA62,"")</f>
        <v>-18379.921661377</v>
      </c>
      <c s="72">
        <f>IF('[1]Leakage Tree Data'!AB62&lt;&gt;"",'[1]Leakage Tree Data'!AB62,"")</f>
        <v>-977767.257957459</v>
      </c>
      <c s="72">
        <f>IF('[1]Leakage Tree Data'!AC62&lt;&gt;"",'[1]Leakage Tree Data'!AC62,"")</f>
        <v>-18379.921661377</v>
      </c>
      <c s="72">
        <f>IF('[1]Leakage Tree Data'!AD62&lt;&gt;"",'[1]Leakage Tree Data'!AD62,"")</f>
        <v>1.44171553125543</v>
      </c>
      <c s="72">
        <f>IF('[1]Leakage Tree Data'!AE62&lt;&gt;"",'[1]Leakage Tree Data'!AE62,"")</f>
      </c>
      <c s="73">
        <f t="shared" si="11"/>
      </c>
      <c s="73">
        <f t="shared" si="12"/>
      </c>
      <c s="73">
        <f t="shared" si="13"/>
      </c>
      <c s="73">
        <f t="shared" si="14"/>
      </c>
      <c s="74">
        <f t="shared" si="15"/>
      </c>
      <c s="74">
        <f t="shared" si="16"/>
      </c>
      <c s="69" t="str">
        <f t="shared" si="0"/>
        <v>Total US - King Soopers</v>
      </c>
      <c s="69" t="str">
        <f t="shared" si="1"/>
        <v>Total US - GroceryX</v>
      </c>
      <c s="77"/>
    </row>
    <row r="164" spans="1:141" ht="15">
      <c r="A16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164,$AL$8:$AL$15,1,FALSE))=TRUE,IF(AND(CV164=CW164,CV164&lt;&gt;"",DI$111&lt;&gt;"",DK164&lt;&gt;""),IF(CW$101="Y",DK164-IF(ISERROR(VLOOKUP(CV164,$CA$113:$DK$300,37,FALSE))=TRUE,0,IF(VLOOKUP(CV164,$CA$113:$DK$300,37,FALSE)="",0,VLOOKUP(CV164,$CA$113:$DK$300,37,FALSE))),DK164-IF(AND(CW$102="Y",CV164=$CW$111),DI$111,0)),""),"")</f>
      </c>
      <c s="76">
        <f>IF(ISERROR(VLOOKUP(CV164,$AL$8:$AL$15,1,FALSE))=TRUE,IF(CB164&lt;&gt;"",IF(CB164&gt;0,IF(Z$4&lt;&gt;"",MIN(4,RANK(CB164,$CB$111:$CB$300)),RANK(CB164,$CB$111:$CB$300)),""),""),"")</f>
      </c>
      <c s="75">
        <f>IF(ISERROR(VLOOKUP(CV164,$AL$8:$AL$15,1,FALSE))=TRUE,IF(AND(ISERROR(FIND("NeighMkt",$CX$102))=FALSE,LEFT($CW$111,10)="ALL OUTLET",$CA164&lt;&gt;"",DK164&lt;&gt;""),"",IF(AND($CV164&lt;&gt;$CW164,$CW164=CD$110),$DK164,"")),"")</f>
        <v>22926351.3529587</v>
      </c>
      <c s="76">
        <f>IF(ISERROR(VLOOKUP(CV164,$AL$8:$AL$15,1,FALSE))=TRUE,IF(CD164&lt;&gt;"",IF(CD164&gt;0,RANK(CD164,$CD$111:$CD$300),""),""),"")</f>
        <v>1</v>
      </c>
      <c s="75">
        <f>IF(ISERROR(VLOOKUP(CV164,$AL$8:$AL$15,1,FALSE))=TRUE,IF(AND(ISERROR(FIND("NeighMkt",$CX$102))=FALSE,LEFT($CW$111,10)="ALL OUTLET",$CA164&lt;&gt;"",DK164&lt;&gt;""),"",IF(AND($CV164&lt;&gt;$CW164,$CW164=CF$110),$DK164,"")),"")</f>
      </c>
      <c s="76">
        <f>IF(ISERROR(VLOOKUP(CV164,$AL$8:$AL$15,1,FALSE))=TRUE,IF(CF164&lt;&gt;"",IF(CF164&gt;0,RANK(CF164,$CF$111:$CF$300),""),""),"")</f>
      </c>
      <c s="75">
        <f>IF(ISERROR(VLOOKUP(CV164,$AL$8:$AL$15,1,FALSE))=TRUE,IF(AND(ISERROR(FIND("NeighMkt",$CX$102))=FALSE,LEFT($CW$111,10)="ALL OUTLET",$CA164&lt;&gt;"",DK164&lt;&gt;""),"",IF(AND($CV164&lt;&gt;$CW164,$CW164=CH$110),$DK164,"")),"")</f>
      </c>
      <c s="76">
        <f>IF(ISERROR(VLOOKUP(CV164,$AL$8:$AL$15,1,FALSE))=TRUE,IF(CH164&lt;&gt;"",IF(CH164&gt;0,RANK(CH164,$CH$111:$CH$300),""),""),"")</f>
      </c>
      <c s="75">
        <f>IF(ISERROR(VLOOKUP(CV164,$AL$8:$AL$15,1,FALSE))=TRUE,IF(AND(ISERROR(FIND("NeighMkt",$CX$102))=FALSE,LEFT($CW$111,10)="ALL OUTLET",$CA164&lt;&gt;"",DK164&lt;&gt;""),"",IF($Z$4="",IF(AND($CV164&lt;&gt;$CW164,$CW164=CJ$110),$DK164,""),IF(AND($CV164&lt;&gt;$CW164,$CW164&lt;&gt;CD$110,$CW164&lt;&gt;CF$110,$CW164&lt;&gt;CH$110,$CW164&lt;&gt;$CV$111),$DK164,""))),"")</f>
      </c>
      <c s="76">
        <f>IF(ISERROR(VLOOKUP(CV164,$AL$8:$AL$15,1,FALSE))=TRUE,IF(CJ164&lt;&gt;"",IF(CJ164&gt;0,RANK(CJ164,$CJ$111:$CJ$300),""),""),"")</f>
      </c>
      <c s="75">
        <f>IF(ISERROR(VLOOKUP(CV164,$AL$8:$AL$15,1,FALSE))=TRUE,IF(AND(CV164=CW164,CV164&lt;&gt;"",DJ164&lt;&gt;""),IF(AND(ISERROR(FIND("NeighMkt",$CX$102))=FALSE,LEFT($CW$111,10)="ALL OUTLET"),DJ164-IF(ISERROR(VLOOKUP(CV164,$CA$113:$DK$300,36,FALSE))=TRUE,0,IF(VLOOKUP(CV164,$CA$113:$DK$300,36,FALSE)="",0,VLOOKUP(CV164,$CA$113:$DK$300,36,FALSE))),DJ164),""),"")</f>
      </c>
      <c s="76">
        <f>IF(ISERROR(VLOOKUP(CV164,$AL$8:$AL$15,1,FALSE))=TRUE,IF(CL164&lt;&gt;"",IF(CL164&gt;0,IF($Z$4&lt;&gt;"",MIN(4,RANK(CL164,$CL$111:$CL$300)),RANK(CL164,$CL$111:$CL$300)),""),""),"")</f>
      </c>
      <c s="75">
        <f>IF(ISERROR(VLOOKUP(CV164,$AL$8:$AL$15,1,FALSE))=TRUE,IF(AND(ISERROR(FIND("NeighMkt",$CX$102))=FALSE,LEFT($CW$111,10)="ALL OUTLET",$CA164&lt;&gt;"",DJ164&lt;&gt;""),"",IF(AND($CV164&lt;&gt;$CW164,$CW164=CN$110),$DJ164,"")),"")</f>
        <v>83222188.1612549</v>
      </c>
      <c s="76">
        <f>IF(ISERROR(VLOOKUP(CV164,$AL$8:$AL$15,1,FALSE))=TRUE,IF(CN164&lt;&gt;"",IF(CN164&gt;0,RANK(CN164,$CN$111:$CN$300),""),""),"")</f>
        <v>1</v>
      </c>
      <c s="75">
        <f>IF(ISERROR(VLOOKUP(CV164,$AL$8:$AL$15,1,FALSE))=TRUE,IF(AND(ISERROR(FIND("NeighMkt",$CX$102))=FALSE,LEFT($CW$111,10)="ALL OUTLET",$CA164&lt;&gt;"",DJ164&lt;&gt;""),"",IF(AND($CV164&lt;&gt;$CW164,$CW164=CP$110),$DJ164,"")),"")</f>
      </c>
      <c s="76">
        <f>IF(ISERROR(VLOOKUP(CV164,$AL$8:$AL$15,1,FALSE))=TRUE,IF(CP164&lt;&gt;"",IF(CP164&gt;0,RANK(CP164,$CP$111:$CP$300),""),""),"")</f>
      </c>
      <c s="75">
        <f>IF(ISERROR(VLOOKUP(CV164,$AL$8:$AL$15,1,FALSE))=TRUE,IF(AND(ISERROR(FIND("NeighMkt",$CX$102))=FALSE,LEFT($CW$111,10)="ALL OUTLET",$CA164&lt;&gt;"",DJ164&lt;&gt;""),"",IF(AND($CV164&lt;&gt;$CW164,$CW164=CR$110),$DJ164,"")),"")</f>
      </c>
      <c s="76">
        <f>IF(ISERROR(VLOOKUP(CV164,$AL$8:$AL$15,1,FALSE))=TRUE,IF(CR164&lt;&gt;"",IF(CR164&gt;0,RANK(CR164,$CR$111:$CR$300),""),""),"")</f>
      </c>
      <c s="75">
        <f>IF(ISERROR(VLOOKUP(CV164,$AL$8:$AL$15,1,FALSE))=TRUE,IF(AND(ISERROR(FIND("NeighMkt",$CX$102))=FALSE,LEFT($CW$111,10)="ALL OUTLET",$CA164&lt;&gt;"",DJ164&lt;&gt;""),"",IF($Z$4="",IF(AND($CV164&lt;&gt;$CW164,$CW164=CT$110),$DJ164,""),IF(AND($CV164&lt;&gt;$CW164,$CW164&lt;&gt;CN$110,$CW164&lt;&gt;CP$110,$CW164&lt;&gt;CR$110,$CW164&lt;&gt;$CV$111),$DJ164,""))),"")</f>
      </c>
      <c s="76">
        <f>IF(ISERROR(VLOOKUP(CV164,$AL$8:$AL$15,1,FALSE))=TRUE,IF(CT164&lt;&gt;"",IF(CT164&gt;0,RANK(CT164,$CT$111:$CT$300),""),""),"")</f>
      </c>
      <c s="65" t="str">
        <f t="shared" si="2"/>
        <v>Kroger</v>
      </c>
      <c s="65" t="str">
        <f t="shared" si="3"/>
        <v>GroceryX</v>
      </c>
      <c s="72" t="str">
        <f>IF('[1]Leakage Tree Data'!A63&lt;&gt;"",'[1]Leakage Tree Data'!A63,"")</f>
        <v>Total US - Kroger</v>
      </c>
      <c s="72" t="str">
        <f>IF('[1]Leakage Tree Data'!B63&lt;&gt;"",'[1]Leakage Tree Data'!B63,"")</f>
        <v>Total US - GroceryX</v>
      </c>
      <c s="72">
        <f>IF('[1]Leakage Tree Data'!C63&lt;&gt;"",'[1]Leakage Tree Data'!C63,"")</f>
        <v>121171760.292236</v>
      </c>
      <c s="72">
        <f>IF('[1]Leakage Tree Data'!D63&lt;&gt;"",'[1]Leakage Tree Data'!D63,"")</f>
        <v>22081055.505249</v>
      </c>
      <c s="72">
        <f>IF('[1]Leakage Tree Data'!E63&lt;&gt;"",'[1]Leakage Tree Data'!E63,"")</f>
        <v>18.2229386219982</v>
      </c>
      <c s="72">
        <f>IF('[1]Leakage Tree Data'!F63&lt;&gt;"",'[1]Leakage Tree Data'!F63,"")</f>
        <v>99090704.7869873</v>
      </c>
      <c s="72">
        <f>IF('[1]Leakage Tree Data'!G63&lt;&gt;"",'[1]Leakage Tree Data'!G63,"")</f>
        <v>81.7770613780018</v>
      </c>
      <c s="72">
        <f>IF('[1]Leakage Tree Data'!H63&lt;&gt;"",'[1]Leakage Tree Data'!H63,"")</f>
        <v>61518209.9918823</v>
      </c>
      <c s="72" t="str">
        <f>IF('[1]Leakage Tree Data'!I63&lt;&gt;"",'[1]Leakage Tree Data'!I63,"")</f>
        <v>GroceryX</v>
      </c>
      <c s="72">
        <f>IF('[1]Leakage Tree Data'!J63&lt;&gt;"",'[1]Leakage Tree Data'!J63,"")</f>
        <v>91.4510599369204</v>
      </c>
      <c s="72">
        <f>IF('[1]Leakage Tree Data'!K63&lt;&gt;"",'[1]Leakage Tree Data'!K63,"")</f>
        <v>5259154.90008545</v>
      </c>
      <c s="72">
        <f>IF('[1]Leakage Tree Data'!L63&lt;&gt;"",'[1]Leakage Tree Data'!L63,"")</f>
        <v>22926351.3529587</v>
      </c>
      <c s="72">
        <f>IF('[1]Leakage Tree Data'!M63&lt;&gt;"",'[1]Leakage Tree Data'!M63,"")</f>
        <v>83222188.1612549</v>
      </c>
      <c s="72">
        <f>IF('[1]Leakage Tree Data'!N63&lt;&gt;"",'[1]Leakage Tree Data'!N63,"")</f>
        <v>22926351.3529587</v>
      </c>
      <c s="72">
        <f>IF('[1]Leakage Tree Data'!O63&lt;&gt;"",'[1]Leakage Tree Data'!O63,"")</f>
        <v>48.6957007285124</v>
      </c>
      <c s="72">
        <f>IF('[1]Leakage Tree Data'!P63&lt;&gt;"",'[1]Leakage Tree Data'!P63,"")</f>
        <v>5872151.84951508</v>
      </c>
      <c s="72">
        <f>IF('[1]Leakage Tree Data'!Q63&lt;&gt;"",'[1]Leakage Tree Data'!Q63,"")</f>
      </c>
      <c s="72">
        <f>IF('[1]Leakage Tree Data'!R63&lt;&gt;"",'[1]Leakage Tree Data'!R63,"")</f>
        <v>1017625.85098267</v>
      </c>
      <c s="72">
        <f>IF('[1]Leakage Tree Data'!S63&lt;&gt;"",'[1]Leakage Tree Data'!S63,"")</f>
        <v>276035.086456299</v>
      </c>
      <c s="72">
        <f>IF('[1]Leakage Tree Data'!T63&lt;&gt;"",'[1]Leakage Tree Data'!T63,"")</f>
        <v>0.0753979483531033</v>
      </c>
      <c s="72">
        <f>IF('[1]Leakage Tree Data'!U63&lt;&gt;"",'[1]Leakage Tree Data'!U63,"")</f>
        <v>741590.764526367</v>
      </c>
      <c s="72">
        <f>IF('[1]Leakage Tree Data'!V63&lt;&gt;"",'[1]Leakage Tree Data'!V63,"")</f>
        <v>-0.075397948353114</v>
      </c>
      <c s="72">
        <f>IF('[1]Leakage Tree Data'!W63&lt;&gt;"",'[1]Leakage Tree Data'!W63,"")</f>
        <v>-1855949.2237854</v>
      </c>
      <c s="72">
        <f>IF('[1]Leakage Tree Data'!X63&lt;&gt;"",'[1]Leakage Tree Data'!X63,"")</f>
      </c>
      <c s="72">
        <f>IF('[1]Leakage Tree Data'!Y63&lt;&gt;"",'[1]Leakage Tree Data'!Y63,"")</f>
        <v>0.412823983990506</v>
      </c>
      <c s="72">
        <f>IF('[1]Leakage Tree Data'!Z63&lt;&gt;"",'[1]Leakage Tree Data'!Z63,"")</f>
        <v>-420287.715637207</v>
      </c>
      <c s="72">
        <f>IF('[1]Leakage Tree Data'!AA63&lt;&gt;"",'[1]Leakage Tree Data'!AA63,"")</f>
        <v>-1945623.10754395</v>
      </c>
      <c s="72">
        <f>IF('[1]Leakage Tree Data'!AB63&lt;&gt;"",'[1]Leakage Tree Data'!AB63,"")</f>
        <v>2201230.40841293</v>
      </c>
      <c s="72">
        <f>IF('[1]Leakage Tree Data'!AC63&lt;&gt;"",'[1]Leakage Tree Data'!AC63,"")</f>
        <v>-1945623.10754395</v>
      </c>
      <c s="72">
        <f>IF('[1]Leakage Tree Data'!AD63&lt;&gt;"",'[1]Leakage Tree Data'!AD63,"")</f>
        <v>0.156396007928372</v>
      </c>
      <c s="72">
        <f>IF('[1]Leakage Tree Data'!AE63&lt;&gt;"",'[1]Leakage Tree Data'!AE63,"")</f>
      </c>
      <c s="73">
        <f t="shared" si="11"/>
      </c>
      <c s="73">
        <f t="shared" si="12"/>
      </c>
      <c s="73">
        <f t="shared" si="13"/>
      </c>
      <c s="73">
        <f t="shared" si="14"/>
      </c>
      <c s="74">
        <f t="shared" si="15"/>
      </c>
      <c s="74">
        <f t="shared" si="16"/>
      </c>
      <c s="69" t="str">
        <f t="shared" si="0"/>
        <v>Total US - Kroger</v>
      </c>
      <c s="69" t="str">
        <f t="shared" si="1"/>
        <v>Total US - GroceryX</v>
      </c>
      <c s="77"/>
    </row>
    <row r="165" spans="1:141" ht="15">
      <c r="A16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165,$AL$8:$AL$15,1,FALSE))=TRUE,IF(AND(CV165=CW165,CV165&lt;&gt;"",DI$111&lt;&gt;"",DK165&lt;&gt;""),IF(CW$101="Y",DK165-IF(ISERROR(VLOOKUP(CV165,$CA$113:$DK$300,37,FALSE))=TRUE,0,IF(VLOOKUP(CV165,$CA$113:$DK$300,37,FALSE)="",0,VLOOKUP(CV165,$CA$113:$DK$300,37,FALSE))),DK165-IF(AND(CW$102="Y",CV165=$CW$111),DI$111,0)),""),"")</f>
      </c>
      <c s="76">
        <f>IF(ISERROR(VLOOKUP(CV165,$AL$8:$AL$15,1,FALSE))=TRUE,IF(CB165&lt;&gt;"",IF(CB165&gt;0,IF(Z$4&lt;&gt;"",MIN(4,RANK(CB165,$CB$111:$CB$300)),RANK(CB165,$CB$111:$CB$300)),""),""),"")</f>
      </c>
      <c s="75">
        <f>IF(ISERROR(VLOOKUP(CV165,$AL$8:$AL$15,1,FALSE))=TRUE,IF(AND(ISERROR(FIND("NeighMkt",$CX$102))=FALSE,LEFT($CW$111,10)="ALL OUTLET",$CA165&lt;&gt;"",DK165&lt;&gt;""),"",IF(AND($CV165&lt;&gt;$CW165,$CW165=CD$110),$DK165,"")),"")</f>
      </c>
      <c s="76">
        <f>IF(ISERROR(VLOOKUP(CV165,$AL$8:$AL$15,1,FALSE))=TRUE,IF(CD165&lt;&gt;"",IF(CD165&gt;0,RANK(CD165,$CD$111:$CD$300),""),""),"")</f>
      </c>
      <c s="75">
        <f>IF(ISERROR(VLOOKUP(CV165,$AL$8:$AL$15,1,FALSE))=TRUE,IF(AND(ISERROR(FIND("NeighMkt",$CX$102))=FALSE,LEFT($CW$111,10)="ALL OUTLET",$CA165&lt;&gt;"",DK165&lt;&gt;""),"",IF(AND($CV165&lt;&gt;$CW165,$CW165=CF$110),$DK165,"")),"")</f>
      </c>
      <c s="76">
        <f>IF(ISERROR(VLOOKUP(CV165,$AL$8:$AL$15,1,FALSE))=TRUE,IF(CF165&lt;&gt;"",IF(CF165&gt;0,RANK(CF165,$CF$111:$CF$300),""),""),"")</f>
      </c>
      <c s="75">
        <f>IF(ISERROR(VLOOKUP(CV165,$AL$8:$AL$15,1,FALSE))=TRUE,IF(AND(ISERROR(FIND("NeighMkt",$CX$102))=FALSE,LEFT($CW$111,10)="ALL OUTLET",$CA165&lt;&gt;"",DK165&lt;&gt;""),"",IF(AND($CV165&lt;&gt;$CW165,$CW165=CH$110),$DK165,"")),"")</f>
      </c>
      <c s="76">
        <f>IF(ISERROR(VLOOKUP(CV165,$AL$8:$AL$15,1,FALSE))=TRUE,IF(CH165&lt;&gt;"",IF(CH165&gt;0,RANK(CH165,$CH$111:$CH$300),""),""),"")</f>
      </c>
      <c s="75">
        <f>IF(ISERROR(VLOOKUP(CV165,$AL$8:$AL$15,1,FALSE))=TRUE,IF(AND(ISERROR(FIND("NeighMkt",$CX$102))=FALSE,LEFT($CW$111,10)="ALL OUTLET",$CA165&lt;&gt;"",DK165&lt;&gt;""),"",IF($Z$4="",IF(AND($CV165&lt;&gt;$CW165,$CW165=CJ$110),$DK165,""),IF(AND($CV165&lt;&gt;$CW165,$CW165&lt;&gt;CD$110,$CW165&lt;&gt;CF$110,$CW165&lt;&gt;CH$110,$CW165&lt;&gt;$CV$111),$DK165,""))),"")</f>
      </c>
      <c s="76">
        <f>IF(ISERROR(VLOOKUP(CV165,$AL$8:$AL$15,1,FALSE))=TRUE,IF(CJ165&lt;&gt;"",IF(CJ165&gt;0,RANK(CJ165,$CJ$111:$CJ$300),""),""),"")</f>
      </c>
      <c s="75">
        <f>IF(ISERROR(VLOOKUP(CV165,$AL$8:$AL$15,1,FALSE))=TRUE,IF(AND(CV165=CW165,CV165&lt;&gt;"",DJ165&lt;&gt;""),IF(AND(ISERROR(FIND("NeighMkt",$CX$102))=FALSE,LEFT($CW$111,10)="ALL OUTLET"),DJ165-IF(ISERROR(VLOOKUP(CV165,$CA$113:$DK$300,36,FALSE))=TRUE,0,IF(VLOOKUP(CV165,$CA$113:$DK$300,36,FALSE)="",0,VLOOKUP(CV165,$CA$113:$DK$300,36,FALSE))),DJ165),""),"")</f>
      </c>
      <c s="76">
        <f>IF(ISERROR(VLOOKUP(CV165,$AL$8:$AL$15,1,FALSE))=TRUE,IF(CL165&lt;&gt;"",IF(CL165&gt;0,IF($Z$4&lt;&gt;"",MIN(4,RANK(CL165,$CL$111:$CL$300)),RANK(CL165,$CL$111:$CL$300)),""),""),"")</f>
      </c>
      <c s="75">
        <f>IF(ISERROR(VLOOKUP(CV165,$AL$8:$AL$15,1,FALSE))=TRUE,IF(AND(ISERROR(FIND("NeighMkt",$CX$102))=FALSE,LEFT($CW$111,10)="ALL OUTLET",$CA165&lt;&gt;"",DJ165&lt;&gt;""),"",IF(AND($CV165&lt;&gt;$CW165,$CW165=CN$110),$DJ165,"")),"")</f>
        <v>1091503.8414917</v>
      </c>
      <c s="76">
        <f>IF(ISERROR(VLOOKUP(CV165,$AL$8:$AL$15,1,FALSE))=TRUE,IF(CN165&lt;&gt;"",IF(CN165&gt;0,RANK(CN165,$CN$111:$CN$300),""),""),"")</f>
        <v>51</v>
      </c>
      <c s="75">
        <f>IF(ISERROR(VLOOKUP(CV165,$AL$8:$AL$15,1,FALSE))=TRUE,IF(AND(ISERROR(FIND("NeighMkt",$CX$102))=FALSE,LEFT($CW$111,10)="ALL OUTLET",$CA165&lt;&gt;"",DJ165&lt;&gt;""),"",IF(AND($CV165&lt;&gt;$CW165,$CW165=CP$110),$DJ165,"")),"")</f>
      </c>
      <c s="76">
        <f>IF(ISERROR(VLOOKUP(CV165,$AL$8:$AL$15,1,FALSE))=TRUE,IF(CP165&lt;&gt;"",IF(CP165&gt;0,RANK(CP165,$CP$111:$CP$300),""),""),"")</f>
      </c>
      <c s="75">
        <f>IF(ISERROR(VLOOKUP(CV165,$AL$8:$AL$15,1,FALSE))=TRUE,IF(AND(ISERROR(FIND("NeighMkt",$CX$102))=FALSE,LEFT($CW$111,10)="ALL OUTLET",$CA165&lt;&gt;"",DJ165&lt;&gt;""),"",IF(AND($CV165&lt;&gt;$CW165,$CW165=CR$110),$DJ165,"")),"")</f>
      </c>
      <c s="76">
        <f>IF(ISERROR(VLOOKUP(CV165,$AL$8:$AL$15,1,FALSE))=TRUE,IF(CR165&lt;&gt;"",IF(CR165&gt;0,RANK(CR165,$CR$111:$CR$300),""),""),"")</f>
      </c>
      <c s="75">
        <f>IF(ISERROR(VLOOKUP(CV165,$AL$8:$AL$15,1,FALSE))=TRUE,IF(AND(ISERROR(FIND("NeighMkt",$CX$102))=FALSE,LEFT($CW$111,10)="ALL OUTLET",$CA165&lt;&gt;"",DJ165&lt;&gt;""),"",IF($Z$4="",IF(AND($CV165&lt;&gt;$CW165,$CW165=CT$110),$DJ165,""),IF(AND($CV165&lt;&gt;$CW165,$CW165&lt;&gt;CN$110,$CW165&lt;&gt;CP$110,$CW165&lt;&gt;CR$110,$CW165&lt;&gt;$CV$111),$DJ165,""))),"")</f>
      </c>
      <c s="76">
        <f>IF(ISERROR(VLOOKUP(CV165,$AL$8:$AL$15,1,FALSE))=TRUE,IF(CT165&lt;&gt;"",IF(CT165&gt;0,RANK(CT165,$CT$111:$CT$300),""),""),"")</f>
      </c>
      <c s="65" t="str">
        <f t="shared" si="2"/>
        <v>Lowes Foods</v>
      </c>
      <c s="65" t="str">
        <f t="shared" si="3"/>
        <v>GroceryX</v>
      </c>
      <c s="72" t="str">
        <f>IF('[1]Leakage Tree Data'!A64&lt;&gt;"",'[1]Leakage Tree Data'!A64,"")</f>
        <v>Total US - Lowes Foods</v>
      </c>
      <c s="72" t="str">
        <f>IF('[1]Leakage Tree Data'!B64&lt;&gt;"",'[1]Leakage Tree Data'!B64,"")</f>
        <v>Total US - GroceryX</v>
      </c>
      <c s="72">
        <f>IF('[1]Leakage Tree Data'!C64&lt;&gt;"",'[1]Leakage Tree Data'!C64,"")</f>
        <v>121171760.292236</v>
      </c>
      <c s="72">
        <f>IF('[1]Leakage Tree Data'!D64&lt;&gt;"",'[1]Leakage Tree Data'!D64,"")</f>
        <v>1150707.55633545</v>
      </c>
      <c s="72">
        <f>IF('[1]Leakage Tree Data'!E64&lt;&gt;"",'[1]Leakage Tree Data'!E64,"")</f>
        <v>0.949649946126249</v>
      </c>
      <c s="72">
        <f>IF('[1]Leakage Tree Data'!F64&lt;&gt;"",'[1]Leakage Tree Data'!F64,"")</f>
        <v>120021052.735901</v>
      </c>
      <c s="72">
        <f>IF('[1]Leakage Tree Data'!G64&lt;&gt;"",'[1]Leakage Tree Data'!G64,"")</f>
        <v>99.0503500538738</v>
      </c>
      <c s="72">
        <f>IF('[1]Leakage Tree Data'!H64&lt;&gt;"",'[1]Leakage Tree Data'!H64,"")</f>
        <v>61518209.9918823</v>
      </c>
      <c s="72" t="str">
        <f>IF('[1]Leakage Tree Data'!I64&lt;&gt;"",'[1]Leakage Tree Data'!I64,"")</f>
        <v>GroceryX</v>
      </c>
      <c s="72">
        <f>IF('[1]Leakage Tree Data'!J64&lt;&gt;"",'[1]Leakage Tree Data'!J64,"")</f>
        <v>99.7942504044275</v>
      </c>
      <c s="72">
        <f>IF('[1]Leakage Tree Data'!K64&lt;&gt;"",'[1]Leakage Tree Data'!K64,"")</f>
        <v>126573.468261719</v>
      </c>
      <c s="72">
        <f>IF('[1]Leakage Tree Data'!L64&lt;&gt;"",'[1]Leakage Tree Data'!L64,"")</f>
      </c>
      <c s="72">
        <f>IF('[1]Leakage Tree Data'!M64&lt;&gt;"",'[1]Leakage Tree Data'!M64,"")</f>
        <v>1091503.8414917</v>
      </c>
      <c s="72">
        <f>IF('[1]Leakage Tree Data'!N64&lt;&gt;"",'[1]Leakage Tree Data'!N64,"")</f>
      </c>
      <c s="72">
        <f>IF('[1]Leakage Tree Data'!O64&lt;&gt;"",'[1]Leakage Tree Data'!O64,"")</f>
        <v>18.1281962143621</v>
      </c>
      <c s="72">
        <f>IF('[1]Leakage Tree Data'!P64&lt;&gt;"",'[1]Leakage Tree Data'!P64,"")</f>
        <v>175502.491603972</v>
      </c>
      <c s="72">
        <f>IF('[1]Leakage Tree Data'!Q64&lt;&gt;"",'[1]Leakage Tree Data'!Q64,"")</f>
      </c>
      <c s="72">
        <f>IF('[1]Leakage Tree Data'!R64&lt;&gt;"",'[1]Leakage Tree Data'!R64,"")</f>
        <v>1017625.85098267</v>
      </c>
      <c s="72">
        <f>IF('[1]Leakage Tree Data'!S64&lt;&gt;"",'[1]Leakage Tree Data'!S64,"")</f>
        <v>-102782.184020996</v>
      </c>
      <c s="72">
        <f>IF('[1]Leakage Tree Data'!T64&lt;&gt;"",'[1]Leakage Tree Data'!T64,"")</f>
        <v>-0.0935848507332032</v>
      </c>
      <c s="72">
        <f>IF('[1]Leakage Tree Data'!U64&lt;&gt;"",'[1]Leakage Tree Data'!U64,"")</f>
        <v>1120408.03500366</v>
      </c>
      <c s="72">
        <f>IF('[1]Leakage Tree Data'!V64&lt;&gt;"",'[1]Leakage Tree Data'!V64,"")</f>
        <v>0.0935848507332082</v>
      </c>
      <c s="72">
        <f>IF('[1]Leakage Tree Data'!W64&lt;&gt;"",'[1]Leakage Tree Data'!W64,"")</f>
        <v>-1855949.2237854</v>
      </c>
      <c s="72">
        <f>IF('[1]Leakage Tree Data'!X64&lt;&gt;"",'[1]Leakage Tree Data'!X64,"")</f>
      </c>
      <c s="72">
        <f>IF('[1]Leakage Tree Data'!Y64&lt;&gt;"",'[1]Leakage Tree Data'!Y64,"")</f>
        <v>0.0900366407487496</v>
      </c>
      <c s="72">
        <f>IF('[1]Leakage Tree Data'!Z64&lt;&gt;"",'[1]Leakage Tree Data'!Z64,"")</f>
        <v>-60878.5720825195</v>
      </c>
      <c s="72">
        <f>IF('[1]Leakage Tree Data'!AA64&lt;&gt;"",'[1]Leakage Tree Data'!AA64,"")</f>
      </c>
      <c s="72">
        <f>IF('[1]Leakage Tree Data'!AB64&lt;&gt;"",'[1]Leakage Tree Data'!AB64,"")</f>
        <v>-618862.680862427</v>
      </c>
      <c s="72">
        <f>IF('[1]Leakage Tree Data'!AC64&lt;&gt;"",'[1]Leakage Tree Data'!AC64,"")</f>
      </c>
      <c s="72">
        <f>IF('[1]Leakage Tree Data'!AD64&lt;&gt;"",'[1]Leakage Tree Data'!AD64,"")</f>
        <v>-5.72768875969456</v>
      </c>
      <c s="72">
        <f>IF('[1]Leakage Tree Data'!AE64&lt;&gt;"",'[1]Leakage Tree Data'!AE64,"")</f>
      </c>
      <c s="73">
        <f t="shared" si="11"/>
      </c>
      <c s="73">
        <f t="shared" si="12"/>
      </c>
      <c s="73">
        <f t="shared" si="13"/>
      </c>
      <c s="73">
        <f t="shared" si="14"/>
      </c>
      <c s="74">
        <f t="shared" si="15"/>
      </c>
      <c s="74">
        <f t="shared" si="16"/>
      </c>
      <c s="69" t="str">
        <f t="shared" si="0"/>
        <v>Total US - Lowes Foods</v>
      </c>
      <c s="69" t="str">
        <f t="shared" si="1"/>
        <v>Total US - GroceryX</v>
      </c>
      <c s="77"/>
    </row>
    <row r="166" spans="1:141" ht="15">
      <c r="A16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166,$AL$8:$AL$15,1,FALSE))=TRUE,IF(AND(CV166=CW166,CV166&lt;&gt;"",DI$111&lt;&gt;"",DK166&lt;&gt;""),IF(CW$101="Y",DK166-IF(ISERROR(VLOOKUP(CV166,$CA$113:$DK$300,37,FALSE))=TRUE,0,IF(VLOOKUP(CV166,$CA$113:$DK$300,37,FALSE)="",0,VLOOKUP(CV166,$CA$113:$DK$300,37,FALSE))),DK166-IF(AND(CW$102="Y",CV166=$CW$111),DI$111,0)),""),"")</f>
      </c>
      <c s="76">
        <f>IF(ISERROR(VLOOKUP(CV166,$AL$8:$AL$15,1,FALSE))=TRUE,IF(CB166&lt;&gt;"",IF(CB166&gt;0,IF(Z$4&lt;&gt;"",MIN(4,RANK(CB166,$CB$111:$CB$300)),RANK(CB166,$CB$111:$CB$300)),""),""),"")</f>
      </c>
      <c s="75">
        <f>IF(ISERROR(VLOOKUP(CV166,$AL$8:$AL$15,1,FALSE))=TRUE,IF(AND(ISERROR(FIND("NeighMkt",$CX$102))=FALSE,LEFT($CW$111,10)="ALL OUTLET",$CA166&lt;&gt;"",DK166&lt;&gt;""),"",IF(AND($CV166&lt;&gt;$CW166,$CW166=CD$110),$DK166,"")),"")</f>
      </c>
      <c s="76">
        <f>IF(ISERROR(VLOOKUP(CV166,$AL$8:$AL$15,1,FALSE))=TRUE,IF(CD166&lt;&gt;"",IF(CD166&gt;0,RANK(CD166,$CD$111:$CD$300),""),""),"")</f>
      </c>
      <c s="75">
        <f>IF(ISERROR(VLOOKUP(CV166,$AL$8:$AL$15,1,FALSE))=TRUE,IF(AND(ISERROR(FIND("NeighMkt",$CX$102))=FALSE,LEFT($CW$111,10)="ALL OUTLET",$CA166&lt;&gt;"",DK166&lt;&gt;""),"",IF(AND($CV166&lt;&gt;$CW166,$CW166=CF$110),$DK166,"")),"")</f>
      </c>
      <c s="76">
        <f>IF(ISERROR(VLOOKUP(CV166,$AL$8:$AL$15,1,FALSE))=TRUE,IF(CF166&lt;&gt;"",IF(CF166&gt;0,RANK(CF166,$CF$111:$CF$300),""),""),"")</f>
      </c>
      <c s="75">
        <f>IF(ISERROR(VLOOKUP(CV166,$AL$8:$AL$15,1,FALSE))=TRUE,IF(AND(ISERROR(FIND("NeighMkt",$CX$102))=FALSE,LEFT($CW$111,10)="ALL OUTLET",$CA166&lt;&gt;"",DK166&lt;&gt;""),"",IF(AND($CV166&lt;&gt;$CW166,$CW166=CH$110),$DK166,"")),"")</f>
      </c>
      <c s="76">
        <f>IF(ISERROR(VLOOKUP(CV166,$AL$8:$AL$15,1,FALSE))=TRUE,IF(CH166&lt;&gt;"",IF(CH166&gt;0,RANK(CH166,$CH$111:$CH$300),""),""),"")</f>
      </c>
      <c s="75">
        <f>IF(ISERROR(VLOOKUP(CV166,$AL$8:$AL$15,1,FALSE))=TRUE,IF(AND(ISERROR(FIND("NeighMkt",$CX$102))=FALSE,LEFT($CW$111,10)="ALL OUTLET",$CA166&lt;&gt;"",DK166&lt;&gt;""),"",IF($Z$4="",IF(AND($CV166&lt;&gt;$CW166,$CW166=CJ$110),$DK166,""),IF(AND($CV166&lt;&gt;$CW166,$CW166&lt;&gt;CD$110,$CW166&lt;&gt;CF$110,$CW166&lt;&gt;CH$110,$CW166&lt;&gt;$CV$111),$DK166,""))),"")</f>
      </c>
      <c s="76">
        <f>IF(ISERROR(VLOOKUP(CV166,$AL$8:$AL$15,1,FALSE))=TRUE,IF(CJ166&lt;&gt;"",IF(CJ166&gt;0,RANK(CJ166,$CJ$111:$CJ$300),""),""),"")</f>
      </c>
      <c s="75">
        <f>IF(ISERROR(VLOOKUP(CV166,$AL$8:$AL$15,1,FALSE))=TRUE,IF(AND(CV166=CW166,CV166&lt;&gt;"",DJ166&lt;&gt;""),IF(AND(ISERROR(FIND("NeighMkt",$CX$102))=FALSE,LEFT($CW$111,10)="ALL OUTLET"),DJ166-IF(ISERROR(VLOOKUP(CV166,$CA$113:$DK$300,36,FALSE))=TRUE,0,IF(VLOOKUP(CV166,$CA$113:$DK$300,36,FALSE)="",0,VLOOKUP(CV166,$CA$113:$DK$300,36,FALSE))),DJ166),""),"")</f>
      </c>
      <c s="76">
        <f>IF(ISERROR(VLOOKUP(CV166,$AL$8:$AL$15,1,FALSE))=TRUE,IF(CL166&lt;&gt;"",IF(CL166&gt;0,IF($Z$4&lt;&gt;"",MIN(4,RANK(CL166,$CL$111:$CL$300)),RANK(CL166,$CL$111:$CL$300)),""),""),"")</f>
      </c>
      <c s="75">
        <f>IF(ISERROR(VLOOKUP(CV166,$AL$8:$AL$15,1,FALSE))=TRUE,IF(AND(ISERROR(FIND("NeighMkt",$CX$102))=FALSE,LEFT($CW$111,10)="ALL OUTLET",$CA166&lt;&gt;"",DJ166&lt;&gt;""),"",IF(AND($CV166&lt;&gt;$CW166,$CW166=CN$110),$DJ166,"")),"")</f>
      </c>
      <c s="76">
        <f>IF(ISERROR(VLOOKUP(CV166,$AL$8:$AL$15,1,FALSE))=TRUE,IF(CN166&lt;&gt;"",IF(CN166&gt;0,RANK(CN166,$CN$111:$CN$300),""),""),"")</f>
      </c>
      <c s="75">
        <f>IF(ISERROR(VLOOKUP(CV166,$AL$8:$AL$15,1,FALSE))=TRUE,IF(AND(ISERROR(FIND("NeighMkt",$CX$102))=FALSE,LEFT($CW$111,10)="ALL OUTLET",$CA166&lt;&gt;"",DJ166&lt;&gt;""),"",IF(AND($CV166&lt;&gt;$CW166,$CW166=CP$110),$DJ166,"")),"")</f>
      </c>
      <c s="76">
        <f>IF(ISERROR(VLOOKUP(CV166,$AL$8:$AL$15,1,FALSE))=TRUE,IF(CP166&lt;&gt;"",IF(CP166&gt;0,RANK(CP166,$CP$111:$CP$300),""),""),"")</f>
      </c>
      <c s="75">
        <f>IF(ISERROR(VLOOKUP(CV166,$AL$8:$AL$15,1,FALSE))=TRUE,IF(AND(ISERROR(FIND("NeighMkt",$CX$102))=FALSE,LEFT($CW$111,10)="ALL OUTLET",$CA166&lt;&gt;"",DJ166&lt;&gt;""),"",IF(AND($CV166&lt;&gt;$CW166,$CW166=CR$110),$DJ166,"")),"")</f>
      </c>
      <c s="76">
        <f>IF(ISERROR(VLOOKUP(CV166,$AL$8:$AL$15,1,FALSE))=TRUE,IF(CR166&lt;&gt;"",IF(CR166&gt;0,RANK(CR166,$CR$111:$CR$300),""),""),"")</f>
      </c>
      <c s="75">
        <f>IF(ISERROR(VLOOKUP(CV166,$AL$8:$AL$15,1,FALSE))=TRUE,IF(AND(ISERROR(FIND("NeighMkt",$CX$102))=FALSE,LEFT($CW$111,10)="ALL OUTLET",$CA166&lt;&gt;"",DJ166&lt;&gt;""),"",IF($Z$4="",IF(AND($CV166&lt;&gt;$CW166,$CW166=CT$110),$DJ166,""),IF(AND($CV166&lt;&gt;$CW166,$CW166&lt;&gt;CN$110,$CW166&lt;&gt;CP$110,$CW166&lt;&gt;CR$110,$CW166&lt;&gt;$CV$111),$DJ166,""))),"")</f>
      </c>
      <c s="76">
        <f>IF(ISERROR(VLOOKUP(CV166,$AL$8:$AL$15,1,FALSE))=TRUE,IF(CT166&lt;&gt;"",IF(CT166&gt;0,RANK(CT166,$CT$111:$CT$300),""),""),"")</f>
      </c>
      <c s="65" t="str">
        <f t="shared" si="2"/>
        <v>Lucky</v>
      </c>
      <c s="65" t="str">
        <f t="shared" si="3"/>
        <v>GroceryX</v>
      </c>
      <c s="72" t="str">
        <f>IF('[1]Leakage Tree Data'!A65&lt;&gt;"",'[1]Leakage Tree Data'!A65,"")</f>
        <v>Total US - Lucky</v>
      </c>
      <c s="72" t="str">
        <f>IF('[1]Leakage Tree Data'!B65&lt;&gt;"",'[1]Leakage Tree Data'!B65,"")</f>
        <v>Total US - GroceryX</v>
      </c>
      <c s="72">
        <f>IF('[1]Leakage Tree Data'!C65&lt;&gt;"",'[1]Leakage Tree Data'!C65,"")</f>
        <v>121171760.292236</v>
      </c>
      <c s="72">
        <f>IF('[1]Leakage Tree Data'!D65&lt;&gt;"",'[1]Leakage Tree Data'!D65,"")</f>
        <v>1319223.22045898</v>
      </c>
      <c s="72">
        <f>IF('[1]Leakage Tree Data'!E65&lt;&gt;"",'[1]Leakage Tree Data'!E65,"")</f>
        <v>1.08872167679775</v>
      </c>
      <c s="72">
        <f>IF('[1]Leakage Tree Data'!F65&lt;&gt;"",'[1]Leakage Tree Data'!F65,"")</f>
        <v>119852537.071777</v>
      </c>
      <c s="72">
        <f>IF('[1]Leakage Tree Data'!G65&lt;&gt;"",'[1]Leakage Tree Data'!G65,"")</f>
        <v>98.9112783232023</v>
      </c>
      <c s="72">
        <f>IF('[1]Leakage Tree Data'!H65&lt;&gt;"",'[1]Leakage Tree Data'!H65,"")</f>
        <v>61518209.9918823</v>
      </c>
      <c s="72" t="str">
        <f>IF('[1]Leakage Tree Data'!I65&lt;&gt;"",'[1]Leakage Tree Data'!I65,"")</f>
        <v>GroceryX</v>
      </c>
      <c s="72">
        <f>IF('[1]Leakage Tree Data'!J65&lt;&gt;"",'[1]Leakage Tree Data'!J65,"")</f>
        <v>99.8143289726607</v>
      </c>
      <c s="72">
        <f>IF('[1]Leakage Tree Data'!K65&lt;&gt;"",'[1]Leakage Tree Data'!K65,"")</f>
        <v>114221.492492676</v>
      </c>
      <c s="72">
        <f>IF('[1]Leakage Tree Data'!L65&lt;&gt;"",'[1]Leakage Tree Data'!L65,"")</f>
      </c>
      <c s="72">
        <f>IF('[1]Leakage Tree Data'!M65&lt;&gt;"",'[1]Leakage Tree Data'!M65,"")</f>
      </c>
      <c s="72">
        <f>IF('[1]Leakage Tree Data'!N65&lt;&gt;"",'[1]Leakage Tree Data'!N65,"")</f>
      </c>
      <c s="72">
        <f>IF('[1]Leakage Tree Data'!O65&lt;&gt;"",'[1]Leakage Tree Data'!O65,"")</f>
        <v>13.4489599404399</v>
      </c>
      <c s="72">
        <f>IF('[1]Leakage Tree Data'!P65&lt;&gt;"",'[1]Leakage Tree Data'!P65,"")</f>
        <v>182816.673843728</v>
      </c>
      <c s="72">
        <f>IF('[1]Leakage Tree Data'!Q65&lt;&gt;"",'[1]Leakage Tree Data'!Q65,"")</f>
      </c>
      <c s="72">
        <f>IF('[1]Leakage Tree Data'!R65&lt;&gt;"",'[1]Leakage Tree Data'!R65,"")</f>
        <v>1017625.85098267</v>
      </c>
      <c s="72">
        <f>IF('[1]Leakage Tree Data'!S65&lt;&gt;"",'[1]Leakage Tree Data'!S65,"")</f>
        <v>-67417.1033325195</v>
      </c>
      <c s="72">
        <f>IF('[1]Leakage Tree Data'!T65&lt;&gt;"",'[1]Leakage Tree Data'!T65,"")</f>
        <v>-0.0653296009545508</v>
      </c>
      <c s="72">
        <f>IF('[1]Leakage Tree Data'!U65&lt;&gt;"",'[1]Leakage Tree Data'!U65,"")</f>
        <v>1085042.95431519</v>
      </c>
      <c s="72">
        <f>IF('[1]Leakage Tree Data'!V65&lt;&gt;"",'[1]Leakage Tree Data'!V65,"")</f>
        <v>0.0653296009545556</v>
      </c>
      <c s="72">
        <f>IF('[1]Leakage Tree Data'!W65&lt;&gt;"",'[1]Leakage Tree Data'!W65,"")</f>
        <v>-1855949.2237854</v>
      </c>
      <c s="72">
        <f>IF('[1]Leakage Tree Data'!X65&lt;&gt;"",'[1]Leakage Tree Data'!X65,"")</f>
      </c>
      <c s="72">
        <f>IF('[1]Leakage Tree Data'!Y65&lt;&gt;"",'[1]Leakage Tree Data'!Y65,"")</f>
      </c>
      <c s="72">
        <f>IF('[1]Leakage Tree Data'!Z65&lt;&gt;"",'[1]Leakage Tree Data'!Z65,"")</f>
      </c>
      <c s="72">
        <f>IF('[1]Leakage Tree Data'!AA65&lt;&gt;"",'[1]Leakage Tree Data'!AA65,"")</f>
      </c>
      <c s="72">
        <f>IF('[1]Leakage Tree Data'!AB65&lt;&gt;"",'[1]Leakage Tree Data'!AB65,"")</f>
      </c>
      <c s="72">
        <f>IF('[1]Leakage Tree Data'!AC65&lt;&gt;"",'[1]Leakage Tree Data'!AC65,"")</f>
      </c>
      <c s="72">
        <f>IF('[1]Leakage Tree Data'!AD65&lt;&gt;"",'[1]Leakage Tree Data'!AD65,"")</f>
        <v>0.913176076547952</v>
      </c>
      <c s="72">
        <f>IF('[1]Leakage Tree Data'!AE65&lt;&gt;"",'[1]Leakage Tree Data'!AE65,"")</f>
      </c>
      <c s="73">
        <f t="shared" si="11"/>
      </c>
      <c s="73">
        <f t="shared" si="12"/>
      </c>
      <c s="73">
        <f t="shared" si="13"/>
      </c>
      <c s="73">
        <f t="shared" si="14"/>
      </c>
      <c s="74">
        <f t="shared" si="15"/>
      </c>
      <c s="74">
        <f t="shared" si="16"/>
      </c>
      <c s="69" t="str">
        <f t="shared" si="0"/>
        <v>Total US - Lucky</v>
      </c>
      <c s="69" t="str">
        <f t="shared" si="1"/>
        <v>Total US - GroceryX</v>
      </c>
      <c s="77"/>
    </row>
    <row r="167" spans="1:141" ht="15">
      <c r="A16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167,$AL$8:$AL$15,1,FALSE))=TRUE,IF(AND(CV167=CW167,CV167&lt;&gt;"",DI$111&lt;&gt;"",DK167&lt;&gt;""),IF(CW$101="Y",DK167-IF(ISERROR(VLOOKUP(CV167,$CA$113:$DK$300,37,FALSE))=TRUE,0,IF(VLOOKUP(CV167,$CA$113:$DK$300,37,FALSE)="",0,VLOOKUP(CV167,$CA$113:$DK$300,37,FALSE))),DK167-IF(AND(CW$102="Y",CV167=$CW$111),DI$111,0)),""),"")</f>
      </c>
      <c s="76">
        <f>IF(ISERROR(VLOOKUP(CV167,$AL$8:$AL$15,1,FALSE))=TRUE,IF(CB167&lt;&gt;"",IF(CB167&gt;0,IF(Z$4&lt;&gt;"",MIN(4,RANK(CB167,$CB$111:$CB$300)),RANK(CB167,$CB$111:$CB$300)),""),""),"")</f>
      </c>
      <c s="75">
        <f>IF(ISERROR(VLOOKUP(CV167,$AL$8:$AL$15,1,FALSE))=TRUE,IF(AND(ISERROR(FIND("NeighMkt",$CX$102))=FALSE,LEFT($CW$111,10)="ALL OUTLET",$CA167&lt;&gt;"",DK167&lt;&gt;""),"",IF(AND($CV167&lt;&gt;$CW167,$CW167=CD$110),$DK167,"")),"")</f>
        <v>1385682.6361084</v>
      </c>
      <c s="76">
        <f>IF(ISERROR(VLOOKUP(CV167,$AL$8:$AL$15,1,FALSE))=TRUE,IF(CD167&lt;&gt;"",IF(CD167&gt;0,RANK(CD167,$CD$111:$CD$300),""),""),"")</f>
        <v>31</v>
      </c>
      <c s="75">
        <f>IF(ISERROR(VLOOKUP(CV167,$AL$8:$AL$15,1,FALSE))=TRUE,IF(AND(ISERROR(FIND("NeighMkt",$CX$102))=FALSE,LEFT($CW$111,10)="ALL OUTLET",$CA167&lt;&gt;"",DK167&lt;&gt;""),"",IF(AND($CV167&lt;&gt;$CW167,$CW167=CF$110),$DK167,"")),"")</f>
      </c>
      <c s="76">
        <f>IF(ISERROR(VLOOKUP(CV167,$AL$8:$AL$15,1,FALSE))=TRUE,IF(CF167&lt;&gt;"",IF(CF167&gt;0,RANK(CF167,$CF$111:$CF$300),""),""),"")</f>
      </c>
      <c s="75">
        <f>IF(ISERROR(VLOOKUP(CV167,$AL$8:$AL$15,1,FALSE))=TRUE,IF(AND(ISERROR(FIND("NeighMkt",$CX$102))=FALSE,LEFT($CW$111,10)="ALL OUTLET",$CA167&lt;&gt;"",DK167&lt;&gt;""),"",IF(AND($CV167&lt;&gt;$CW167,$CW167=CH$110),$DK167,"")),"")</f>
      </c>
      <c s="76">
        <f>IF(ISERROR(VLOOKUP(CV167,$AL$8:$AL$15,1,FALSE))=TRUE,IF(CH167&lt;&gt;"",IF(CH167&gt;0,RANK(CH167,$CH$111:$CH$300),""),""),"")</f>
      </c>
      <c s="75">
        <f>IF(ISERROR(VLOOKUP(CV167,$AL$8:$AL$15,1,FALSE))=TRUE,IF(AND(ISERROR(FIND("NeighMkt",$CX$102))=FALSE,LEFT($CW$111,10)="ALL OUTLET",$CA167&lt;&gt;"",DK167&lt;&gt;""),"",IF($Z$4="",IF(AND($CV167&lt;&gt;$CW167,$CW167=CJ$110),$DK167,""),IF(AND($CV167&lt;&gt;$CW167,$CW167&lt;&gt;CD$110,$CW167&lt;&gt;CF$110,$CW167&lt;&gt;CH$110,$CW167&lt;&gt;$CV$111),$DK167,""))),"")</f>
      </c>
      <c s="76">
        <f>IF(ISERROR(VLOOKUP(CV167,$AL$8:$AL$15,1,FALSE))=TRUE,IF(CJ167&lt;&gt;"",IF(CJ167&gt;0,RANK(CJ167,$CJ$111:$CJ$300),""),""),"")</f>
      </c>
      <c s="75">
        <f>IF(ISERROR(VLOOKUP(CV167,$AL$8:$AL$15,1,FALSE))=TRUE,IF(AND(CV167=CW167,CV167&lt;&gt;"",DJ167&lt;&gt;""),IF(AND(ISERROR(FIND("NeighMkt",$CX$102))=FALSE,LEFT($CW$111,10)="ALL OUTLET"),DJ167-IF(ISERROR(VLOOKUP(CV167,$CA$113:$DK$300,36,FALSE))=TRUE,0,IF(VLOOKUP(CV167,$CA$113:$DK$300,36,FALSE)="",0,VLOOKUP(CV167,$CA$113:$DK$300,36,FALSE))),DJ167),""),"")</f>
      </c>
      <c s="76">
        <f>IF(ISERROR(VLOOKUP(CV167,$AL$8:$AL$15,1,FALSE))=TRUE,IF(CL167&lt;&gt;"",IF(CL167&gt;0,IF($Z$4&lt;&gt;"",MIN(4,RANK(CL167,$CL$111:$CL$300)),RANK(CL167,$CL$111:$CL$300)),""),""),"")</f>
      </c>
      <c s="75">
        <f>IF(ISERROR(VLOOKUP(CV167,$AL$8:$AL$15,1,FALSE))=TRUE,IF(AND(ISERROR(FIND("NeighMkt",$CX$102))=FALSE,LEFT($CW$111,10)="ALL OUTLET",$CA167&lt;&gt;"",DJ167&lt;&gt;""),"",IF(AND($CV167&lt;&gt;$CW167,$CW167=CN$110),$DJ167,"")),"")</f>
        <v>6012985.16426086</v>
      </c>
      <c s="76">
        <f>IF(ISERROR(VLOOKUP(CV167,$AL$8:$AL$15,1,FALSE))=TRUE,IF(CN167&lt;&gt;"",IF(CN167&gt;0,RANK(CN167,$CN$111:$CN$300),""),""),"")</f>
        <v>26</v>
      </c>
      <c s="75">
        <f>IF(ISERROR(VLOOKUP(CV167,$AL$8:$AL$15,1,FALSE))=TRUE,IF(AND(ISERROR(FIND("NeighMkt",$CX$102))=FALSE,LEFT($CW$111,10)="ALL OUTLET",$CA167&lt;&gt;"",DJ167&lt;&gt;""),"",IF(AND($CV167&lt;&gt;$CW167,$CW167=CP$110),$DJ167,"")),"")</f>
      </c>
      <c s="76">
        <f>IF(ISERROR(VLOOKUP(CV167,$AL$8:$AL$15,1,FALSE))=TRUE,IF(CP167&lt;&gt;"",IF(CP167&gt;0,RANK(CP167,$CP$111:$CP$300),""),""),"")</f>
      </c>
      <c s="75">
        <f>IF(ISERROR(VLOOKUP(CV167,$AL$8:$AL$15,1,FALSE))=TRUE,IF(AND(ISERROR(FIND("NeighMkt",$CX$102))=FALSE,LEFT($CW$111,10)="ALL OUTLET",$CA167&lt;&gt;"",DJ167&lt;&gt;""),"",IF(AND($CV167&lt;&gt;$CW167,$CW167=CR$110),$DJ167,"")),"")</f>
      </c>
      <c s="76">
        <f>IF(ISERROR(VLOOKUP(CV167,$AL$8:$AL$15,1,FALSE))=TRUE,IF(CR167&lt;&gt;"",IF(CR167&gt;0,RANK(CR167,$CR$111:$CR$300),""),""),"")</f>
      </c>
      <c s="75">
        <f>IF(ISERROR(VLOOKUP(CV167,$AL$8:$AL$15,1,FALSE))=TRUE,IF(AND(ISERROR(FIND("NeighMkt",$CX$102))=FALSE,LEFT($CW$111,10)="ALL OUTLET",$CA167&lt;&gt;"",DJ167&lt;&gt;""),"",IF($Z$4="",IF(AND($CV167&lt;&gt;$CW167,$CW167=CT$110),$DJ167,""),IF(AND($CV167&lt;&gt;$CW167,$CW167&lt;&gt;CN$110,$CW167&lt;&gt;CP$110,$CW167&lt;&gt;CR$110,$CW167&lt;&gt;$CV$111),$DJ167,""))),"")</f>
      </c>
      <c s="76">
        <f>IF(ISERROR(VLOOKUP(CV167,$AL$8:$AL$15,1,FALSE))=TRUE,IF(CT167&lt;&gt;"",IF(CT167&gt;0,RANK(CT167,$CT$111:$CT$300),""),""),"")</f>
      </c>
      <c s="65" t="str">
        <f t="shared" si="2"/>
        <v>Market Basket</v>
      </c>
      <c s="65" t="str">
        <f t="shared" si="3"/>
        <v>GroceryX</v>
      </c>
      <c s="72" t="str">
        <f>IF('[1]Leakage Tree Data'!A66&lt;&gt;"",'[1]Leakage Tree Data'!A66,"")</f>
        <v>Total US - Market Basket</v>
      </c>
      <c s="72" t="str">
        <f>IF('[1]Leakage Tree Data'!B66&lt;&gt;"",'[1]Leakage Tree Data'!B66,"")</f>
        <v>Total US - GroceryX</v>
      </c>
      <c s="72">
        <f>IF('[1]Leakage Tree Data'!C66&lt;&gt;"",'[1]Leakage Tree Data'!C66,"")</f>
        <v>121171760.292236</v>
      </c>
      <c s="72">
        <f>IF('[1]Leakage Tree Data'!D66&lt;&gt;"",'[1]Leakage Tree Data'!D66,"")</f>
        <v>2081802.48309326</v>
      </c>
      <c s="72">
        <f>IF('[1]Leakage Tree Data'!E66&lt;&gt;"",'[1]Leakage Tree Data'!E66,"")</f>
        <v>1.71805912373681</v>
      </c>
      <c s="72">
        <f>IF('[1]Leakage Tree Data'!F66&lt;&gt;"",'[1]Leakage Tree Data'!F66,"")</f>
        <v>119089957.809143</v>
      </c>
      <c s="72">
        <f>IF('[1]Leakage Tree Data'!G66&lt;&gt;"",'[1]Leakage Tree Data'!G66,"")</f>
        <v>98.2819408762632</v>
      </c>
      <c s="72">
        <f>IF('[1]Leakage Tree Data'!H66&lt;&gt;"",'[1]Leakage Tree Data'!H66,"")</f>
        <v>61518209.9918823</v>
      </c>
      <c s="72" t="str">
        <f>IF('[1]Leakage Tree Data'!I66&lt;&gt;"",'[1]Leakage Tree Data'!I66,"")</f>
        <v>GroceryX</v>
      </c>
      <c s="72">
        <f>IF('[1]Leakage Tree Data'!J66&lt;&gt;"",'[1]Leakage Tree Data'!J66,"")</f>
        <v>99.2256405835886</v>
      </c>
      <c s="72">
        <f>IF('[1]Leakage Tree Data'!K66&lt;&gt;"",'[1]Leakage Tree Data'!K66,"")</f>
        <v>476372.051879883</v>
      </c>
      <c s="72">
        <f>IF('[1]Leakage Tree Data'!L66&lt;&gt;"",'[1]Leakage Tree Data'!L66,"")</f>
        <v>1385682.6361084</v>
      </c>
      <c s="72">
        <f>IF('[1]Leakage Tree Data'!M66&lt;&gt;"",'[1]Leakage Tree Data'!M66,"")</f>
        <v>6012985.16426086</v>
      </c>
      <c s="72">
        <f>IF('[1]Leakage Tree Data'!N66&lt;&gt;"",'[1]Leakage Tree Data'!N66,"")</f>
        <v>1385682.6361084</v>
      </c>
      <c s="72">
        <f>IF('[1]Leakage Tree Data'!O66&lt;&gt;"",'[1]Leakage Tree Data'!O66,"")</f>
        <v>48.4304515905157</v>
      </c>
      <c s="72">
        <f>IF('[1]Leakage Tree Data'!P66&lt;&gt;"",'[1]Leakage Tree Data'!P66,"")</f>
        <v>370515.367628388</v>
      </c>
      <c s="72">
        <f>IF('[1]Leakage Tree Data'!Q66&lt;&gt;"",'[1]Leakage Tree Data'!Q66,"")</f>
      </c>
      <c s="72">
        <f>IF('[1]Leakage Tree Data'!R66&lt;&gt;"",'[1]Leakage Tree Data'!R66,"")</f>
        <v>1017625.85098267</v>
      </c>
      <c s="72">
        <f>IF('[1]Leakage Tree Data'!S66&lt;&gt;"",'[1]Leakage Tree Data'!S66,"")</f>
        <v>149725.236450195</v>
      </c>
      <c s="72">
        <f>IF('[1]Leakage Tree Data'!T66&lt;&gt;"",'[1]Leakage Tree Data'!T66,"")</f>
        <v>0.110060151726647</v>
      </c>
      <c s="72">
        <f>IF('[1]Leakage Tree Data'!U66&lt;&gt;"",'[1]Leakage Tree Data'!U66,"")</f>
        <v>867900.614532471</v>
      </c>
      <c s="72">
        <f>IF('[1]Leakage Tree Data'!V66&lt;&gt;"",'[1]Leakage Tree Data'!V66,"")</f>
        <v>-0.110060151726643</v>
      </c>
      <c s="72">
        <f>IF('[1]Leakage Tree Data'!W66&lt;&gt;"",'[1]Leakage Tree Data'!W66,"")</f>
        <v>-1855949.2237854</v>
      </c>
      <c s="72">
        <f>IF('[1]Leakage Tree Data'!X66&lt;&gt;"",'[1]Leakage Tree Data'!X66,"")</f>
      </c>
      <c s="72">
        <f>IF('[1]Leakage Tree Data'!Y66&lt;&gt;"",'[1]Leakage Tree Data'!Y66,"")</f>
        <v>-0.0770061784160703</v>
      </c>
      <c s="72">
        <f>IF('[1]Leakage Tree Data'!Z66&lt;&gt;"",'[1]Leakage Tree Data'!Z66,"")</f>
        <v>34430.3005371094</v>
      </c>
      <c s="72">
        <f>IF('[1]Leakage Tree Data'!AA66&lt;&gt;"",'[1]Leakage Tree Data'!AA66,"")</f>
        <v>354221.948272705</v>
      </c>
      <c s="72">
        <f>IF('[1]Leakage Tree Data'!AB66&lt;&gt;"",'[1]Leakage Tree Data'!AB66,"")</f>
        <v>654434.252029419</v>
      </c>
      <c s="72">
        <f>IF('[1]Leakage Tree Data'!AC66&lt;&gt;"",'[1]Leakage Tree Data'!AC66,"")</f>
        <v>354221.948272705</v>
      </c>
      <c s="72">
        <f>IF('[1]Leakage Tree Data'!AD66&lt;&gt;"",'[1]Leakage Tree Data'!AD66,"")</f>
        <v>1.88206585250754</v>
      </c>
      <c s="72">
        <f>IF('[1]Leakage Tree Data'!AE66&lt;&gt;"",'[1]Leakage Tree Data'!AE66,"")</f>
      </c>
      <c s="73">
        <f t="shared" si="11"/>
      </c>
      <c s="73">
        <f t="shared" si="12"/>
      </c>
      <c s="73">
        <f t="shared" si="13"/>
      </c>
      <c s="73">
        <f t="shared" si="14"/>
      </c>
      <c s="74">
        <f t="shared" si="15"/>
      </c>
      <c s="74">
        <f t="shared" si="16"/>
      </c>
      <c s="69" t="str">
        <f t="shared" si="0"/>
        <v>Total US - Market Basket</v>
      </c>
      <c s="69" t="str">
        <f t="shared" si="1"/>
        <v>Total US - GroceryX</v>
      </c>
      <c s="77"/>
    </row>
    <row r="168" spans="1:141" ht="15">
      <c r="A16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168,$AL$8:$AL$15,1,FALSE))=TRUE,IF(AND(CV168=CW168,CV168&lt;&gt;"",DI$111&lt;&gt;"",DK168&lt;&gt;""),IF(CW$101="Y",DK168-IF(ISERROR(VLOOKUP(CV168,$CA$113:$DK$300,37,FALSE))=TRUE,0,IF(VLOOKUP(CV168,$CA$113:$DK$300,37,FALSE)="",0,VLOOKUP(CV168,$CA$113:$DK$300,37,FALSE))),DK168-IF(AND(CW$102="Y",CV168=$CW$111),DI$111,0)),""),"")</f>
      </c>
      <c s="76">
        <f>IF(ISERROR(VLOOKUP(CV168,$AL$8:$AL$15,1,FALSE))=TRUE,IF(CB168&lt;&gt;"",IF(CB168&gt;0,IF(Z$4&lt;&gt;"",MIN(4,RANK(CB168,$CB$111:$CB$300)),RANK(CB168,$CB$111:$CB$300)),""),""),"")</f>
      </c>
      <c s="75">
        <f>IF(ISERROR(VLOOKUP(CV168,$AL$8:$AL$15,1,FALSE))=TRUE,IF(AND(ISERROR(FIND("NeighMkt",$CX$102))=FALSE,LEFT($CW$111,10)="ALL OUTLET",$CA168&lt;&gt;"",DK168&lt;&gt;""),"",IF(AND($CV168&lt;&gt;$CW168,$CW168=CD$110),$DK168,"")),"")</f>
        <v>7389159.6093235</v>
      </c>
      <c s="76">
        <f>IF(ISERROR(VLOOKUP(CV168,$AL$8:$AL$15,1,FALSE))=TRUE,IF(CD168&lt;&gt;"",IF(CD168&gt;0,RANK(CD168,$CD$111:$CD$300),""),""),"")</f>
        <v>4</v>
      </c>
      <c s="75">
        <f>IF(ISERROR(VLOOKUP(CV168,$AL$8:$AL$15,1,FALSE))=TRUE,IF(AND(ISERROR(FIND("NeighMkt",$CX$102))=FALSE,LEFT($CW$111,10)="ALL OUTLET",$CA168&lt;&gt;"",DK168&lt;&gt;""),"",IF(AND($CV168&lt;&gt;$CW168,$CW168=CF$110),$DK168,"")),"")</f>
      </c>
      <c s="76">
        <f>IF(ISERROR(VLOOKUP(CV168,$AL$8:$AL$15,1,FALSE))=TRUE,IF(CF168&lt;&gt;"",IF(CF168&gt;0,RANK(CF168,$CF$111:$CF$300),""),""),"")</f>
      </c>
      <c s="75">
        <f>IF(ISERROR(VLOOKUP(CV168,$AL$8:$AL$15,1,FALSE))=TRUE,IF(AND(ISERROR(FIND("NeighMkt",$CX$102))=FALSE,LEFT($CW$111,10)="ALL OUTLET",$CA168&lt;&gt;"",DK168&lt;&gt;""),"",IF(AND($CV168&lt;&gt;$CW168,$CW168=CH$110),$DK168,"")),"")</f>
      </c>
      <c s="76">
        <f>IF(ISERROR(VLOOKUP(CV168,$AL$8:$AL$15,1,FALSE))=TRUE,IF(CH168&lt;&gt;"",IF(CH168&gt;0,RANK(CH168,$CH$111:$CH$300),""),""),"")</f>
      </c>
      <c s="75">
        <f>IF(ISERROR(VLOOKUP(CV168,$AL$8:$AL$15,1,FALSE))=TRUE,IF(AND(ISERROR(FIND("NeighMkt",$CX$102))=FALSE,LEFT($CW$111,10)="ALL OUTLET",$CA168&lt;&gt;"",DK168&lt;&gt;""),"",IF($Z$4="",IF(AND($CV168&lt;&gt;$CW168,$CW168=CJ$110),$DK168,""),IF(AND($CV168&lt;&gt;$CW168,$CW168&lt;&gt;CD$110,$CW168&lt;&gt;CF$110,$CW168&lt;&gt;CH$110,$CW168&lt;&gt;$CV$111),$DK168,""))),"")</f>
      </c>
      <c s="76">
        <f>IF(ISERROR(VLOOKUP(CV168,$AL$8:$AL$15,1,FALSE))=TRUE,IF(CJ168&lt;&gt;"",IF(CJ168&gt;0,RANK(CJ168,$CJ$111:$CJ$300),""),""),"")</f>
      </c>
      <c s="75">
        <f>IF(ISERROR(VLOOKUP(CV168,$AL$8:$AL$15,1,FALSE))=TRUE,IF(AND(CV168=CW168,CV168&lt;&gt;"",DJ168&lt;&gt;""),IF(AND(ISERROR(FIND("NeighMkt",$CX$102))=FALSE,LEFT($CW$111,10)="ALL OUTLET"),DJ168-IF(ISERROR(VLOOKUP(CV168,$CA$113:$DK$300,36,FALSE))=TRUE,0,IF(VLOOKUP(CV168,$CA$113:$DK$300,36,FALSE)="",0,VLOOKUP(CV168,$CA$113:$DK$300,36,FALSE))),DJ168),""),"")</f>
      </c>
      <c s="76">
        <f>IF(ISERROR(VLOOKUP(CV168,$AL$8:$AL$15,1,FALSE))=TRUE,IF(CL168&lt;&gt;"",IF(CL168&gt;0,IF($Z$4&lt;&gt;"",MIN(4,RANK(CL168,$CL$111:$CL$300)),RANK(CL168,$CL$111:$CL$300)),""),""),"")</f>
      </c>
      <c s="75">
        <f>IF(ISERROR(VLOOKUP(CV168,$AL$8:$AL$15,1,FALSE))=TRUE,IF(AND(ISERROR(FIND("NeighMkt",$CX$102))=FALSE,LEFT($CW$111,10)="ALL OUTLET",$CA168&lt;&gt;"",DJ168&lt;&gt;""),"",IF(AND($CV168&lt;&gt;$CW168,$CW168=CN$110),$DJ168,"")),"")</f>
        <v>40020620.4944992</v>
      </c>
      <c s="76">
        <f>IF(ISERROR(VLOOKUP(CV168,$AL$8:$AL$15,1,FALSE))=TRUE,IF(CN168&lt;&gt;"",IF(CN168&gt;0,RANK(CN168,$CN$111:$CN$300),""),""),"")</f>
        <v>3</v>
      </c>
      <c s="75">
        <f>IF(ISERROR(VLOOKUP(CV168,$AL$8:$AL$15,1,FALSE))=TRUE,IF(AND(ISERROR(FIND("NeighMkt",$CX$102))=FALSE,LEFT($CW$111,10)="ALL OUTLET",$CA168&lt;&gt;"",DJ168&lt;&gt;""),"",IF(AND($CV168&lt;&gt;$CW168,$CW168=CP$110),$DJ168,"")),"")</f>
      </c>
      <c s="76">
        <f>IF(ISERROR(VLOOKUP(CV168,$AL$8:$AL$15,1,FALSE))=TRUE,IF(CP168&lt;&gt;"",IF(CP168&gt;0,RANK(CP168,$CP$111:$CP$300),""),""),"")</f>
      </c>
      <c s="75">
        <f>IF(ISERROR(VLOOKUP(CV168,$AL$8:$AL$15,1,FALSE))=TRUE,IF(AND(ISERROR(FIND("NeighMkt",$CX$102))=FALSE,LEFT($CW$111,10)="ALL OUTLET",$CA168&lt;&gt;"",DJ168&lt;&gt;""),"",IF(AND($CV168&lt;&gt;$CW168,$CW168=CR$110),$DJ168,"")),"")</f>
      </c>
      <c s="76">
        <f>IF(ISERROR(VLOOKUP(CV168,$AL$8:$AL$15,1,FALSE))=TRUE,IF(CR168&lt;&gt;"",IF(CR168&gt;0,RANK(CR168,$CR$111:$CR$300),""),""),"")</f>
      </c>
      <c s="75">
        <f>IF(ISERROR(VLOOKUP(CV168,$AL$8:$AL$15,1,FALSE))=TRUE,IF(AND(ISERROR(FIND("NeighMkt",$CX$102))=FALSE,LEFT($CW$111,10)="ALL OUTLET",$CA168&lt;&gt;"",DJ168&lt;&gt;""),"",IF($Z$4="",IF(AND($CV168&lt;&gt;$CW168,$CW168=CT$110),$DJ168,""),IF(AND($CV168&lt;&gt;$CW168,$CW168&lt;&gt;CN$110,$CW168&lt;&gt;CP$110,$CW168&lt;&gt;CR$110,$CW168&lt;&gt;$CV$111),$DJ168,""))),"")</f>
      </c>
      <c s="76">
        <f>IF(ISERROR(VLOOKUP(CV168,$AL$8:$AL$15,1,FALSE))=TRUE,IF(CT168&lt;&gt;"",IF(CT168&gt;0,RANK(CT168,$CT$111:$CT$300),""),""),"")</f>
      </c>
      <c s="65" t="str">
        <f t="shared" si="2"/>
        <v>Meijer</v>
      </c>
      <c s="65" t="str">
        <f t="shared" si="3"/>
        <v>GroceryX</v>
      </c>
      <c s="72" t="str">
        <f>IF('[1]Leakage Tree Data'!A67&lt;&gt;"",'[1]Leakage Tree Data'!A67,"")</f>
        <v>Total US - Meijer</v>
      </c>
      <c s="72" t="str">
        <f>IF('[1]Leakage Tree Data'!B67&lt;&gt;"",'[1]Leakage Tree Data'!B67,"")</f>
        <v>Total US - GroceryX</v>
      </c>
      <c s="72">
        <f>IF('[1]Leakage Tree Data'!C67&lt;&gt;"",'[1]Leakage Tree Data'!C67,"")</f>
        <v>121171760.292236</v>
      </c>
      <c s="72">
        <f>IF('[1]Leakage Tree Data'!D67&lt;&gt;"",'[1]Leakage Tree Data'!D67,"")</f>
        <v>8847363.53125</v>
      </c>
      <c s="72">
        <f>IF('[1]Leakage Tree Data'!E67&lt;&gt;"",'[1]Leakage Tree Data'!E67,"")</f>
        <v>7.30150615119591</v>
      </c>
      <c s="72">
        <f>IF('[1]Leakage Tree Data'!F67&lt;&gt;"",'[1]Leakage Tree Data'!F67,"")</f>
        <v>112324396.760986</v>
      </c>
      <c s="72">
        <f>IF('[1]Leakage Tree Data'!G67&lt;&gt;"",'[1]Leakage Tree Data'!G67,"")</f>
        <v>92.6984938488041</v>
      </c>
      <c s="72">
        <f>IF('[1]Leakage Tree Data'!H67&lt;&gt;"",'[1]Leakage Tree Data'!H67,"")</f>
        <v>61518209.9918823</v>
      </c>
      <c s="72" t="str">
        <f>IF('[1]Leakage Tree Data'!I67&lt;&gt;"",'[1]Leakage Tree Data'!I67,"")</f>
        <v>GroceryX</v>
      </c>
      <c s="72">
        <f>IF('[1]Leakage Tree Data'!J67&lt;&gt;"",'[1]Leakage Tree Data'!J67,"")</f>
        <v>96.2312418395951</v>
      </c>
      <c s="72">
        <f>IF('[1]Leakage Tree Data'!K67&lt;&gt;"",'[1]Leakage Tree Data'!K67,"")</f>
        <v>2318472.5592041</v>
      </c>
      <c s="72">
        <f>IF('[1]Leakage Tree Data'!L67&lt;&gt;"",'[1]Leakage Tree Data'!L67,"")</f>
        <v>7389159.6093235</v>
      </c>
      <c s="72">
        <f>IF('[1]Leakage Tree Data'!M67&lt;&gt;"",'[1]Leakage Tree Data'!M67,"")</f>
        <v>40020620.4944992</v>
      </c>
      <c s="72">
        <f>IF('[1]Leakage Tree Data'!N67&lt;&gt;"",'[1]Leakage Tree Data'!N67,"")</f>
        <v>7389159.6093235</v>
      </c>
      <c s="72">
        <f>IF('[1]Leakage Tree Data'!O67&lt;&gt;"",'[1]Leakage Tree Data'!O67,"")</f>
        <v>50.4801711630131</v>
      </c>
      <c s="72">
        <f>IF('[1]Leakage Tree Data'!P67&lt;&gt;"",'[1]Leakage Tree Data'!P67,"")</f>
        <v>2606774.49050178</v>
      </c>
      <c s="72">
        <f>IF('[1]Leakage Tree Data'!Q67&lt;&gt;"",'[1]Leakage Tree Data'!Q67,"")</f>
      </c>
      <c s="72">
        <f>IF('[1]Leakage Tree Data'!R67&lt;&gt;"",'[1]Leakage Tree Data'!R67,"")</f>
        <v>1017625.85098267</v>
      </c>
      <c s="72">
        <f>IF('[1]Leakage Tree Data'!S67&lt;&gt;"",'[1]Leakage Tree Data'!S67,"")</f>
        <v>244799.751068115</v>
      </c>
      <c s="72">
        <f>IF('[1]Leakage Tree Data'!T67&lt;&gt;"",'[1]Leakage Tree Data'!T67,"")</f>
        <v>0.141899184539351</v>
      </c>
      <c s="72">
        <f>IF('[1]Leakage Tree Data'!U67&lt;&gt;"",'[1]Leakage Tree Data'!U67,"")</f>
        <v>772826.099914551</v>
      </c>
      <c s="72">
        <f>IF('[1]Leakage Tree Data'!V67&lt;&gt;"",'[1]Leakage Tree Data'!V67,"")</f>
        <v>-0.141899184539355</v>
      </c>
      <c s="72">
        <f>IF('[1]Leakage Tree Data'!W67&lt;&gt;"",'[1]Leakage Tree Data'!W67,"")</f>
        <v>-1855949.2237854</v>
      </c>
      <c s="72">
        <f>IF('[1]Leakage Tree Data'!X67&lt;&gt;"",'[1]Leakage Tree Data'!X67,"")</f>
      </c>
      <c s="72">
        <f>IF('[1]Leakage Tree Data'!Y67&lt;&gt;"",'[1]Leakage Tree Data'!Y67,"")</f>
        <v>-0.0807737373478972</v>
      </c>
      <c s="72">
        <f>IF('[1]Leakage Tree Data'!Z67&lt;&gt;"",'[1]Leakage Tree Data'!Z67,"")</f>
        <v>-18756.5609130859</v>
      </c>
      <c s="72">
        <f>IF('[1]Leakage Tree Data'!AA67&lt;&gt;"",'[1]Leakage Tree Data'!AA67,"")</f>
        <v>-2414952.22364712</v>
      </c>
      <c s="72">
        <f>IF('[1]Leakage Tree Data'!AB67&lt;&gt;"",'[1]Leakage Tree Data'!AB67,"")</f>
        <v>928403.112075806</v>
      </c>
      <c s="72">
        <f>IF('[1]Leakage Tree Data'!AC67&lt;&gt;"",'[1]Leakage Tree Data'!AC67,"")</f>
        <v>-2414952.22364712</v>
      </c>
      <c s="72">
        <f>IF('[1]Leakage Tree Data'!AD67&lt;&gt;"",'[1]Leakage Tree Data'!AD67,"")</f>
        <v>1.078088069378</v>
      </c>
      <c s="72">
        <f>IF('[1]Leakage Tree Data'!AE67&lt;&gt;"",'[1]Leakage Tree Data'!AE67,"")</f>
      </c>
      <c s="73">
        <f t="shared" si="11"/>
      </c>
      <c s="73">
        <f t="shared" si="12"/>
      </c>
      <c s="73">
        <f t="shared" si="13"/>
      </c>
      <c s="73">
        <f t="shared" si="14"/>
      </c>
      <c s="74">
        <f t="shared" si="15"/>
      </c>
      <c s="74">
        <f t="shared" si="16"/>
      </c>
      <c s="69" t="str">
        <f t="shared" si="0"/>
        <v>Total US - Meijer</v>
      </c>
      <c s="69" t="str">
        <f t="shared" si="1"/>
        <v>Total US - GroceryX</v>
      </c>
      <c s="77"/>
    </row>
    <row r="169" spans="1:141" ht="15">
      <c r="A16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169,$AL$8:$AL$15,1,FALSE))=TRUE,IF(AND(CV169=CW169,CV169&lt;&gt;"",DI$111&lt;&gt;"",DK169&lt;&gt;""),IF(CW$101="Y",DK169-IF(ISERROR(VLOOKUP(CV169,$CA$113:$DK$300,37,FALSE))=TRUE,0,IF(VLOOKUP(CV169,$CA$113:$DK$300,37,FALSE)="",0,VLOOKUP(CV169,$CA$113:$DK$300,37,FALSE))),DK169-IF(AND(CW$102="Y",CV169=$CW$111),DI$111,0)),""),"")</f>
      </c>
      <c s="76">
        <f>IF(ISERROR(VLOOKUP(CV169,$AL$8:$AL$15,1,FALSE))=TRUE,IF(CB169&lt;&gt;"",IF(CB169&gt;0,IF(Z$4&lt;&gt;"",MIN(4,RANK(CB169,$CB$111:$CB$300)),RANK(CB169,$CB$111:$CB$300)),""),""),"")</f>
      </c>
      <c s="75">
        <f>IF(ISERROR(VLOOKUP(CV169,$AL$8:$AL$15,1,FALSE))=TRUE,IF(AND(ISERROR(FIND("NeighMkt",$CX$102))=FALSE,LEFT($CW$111,10)="ALL OUTLET",$CA169&lt;&gt;"",DK169&lt;&gt;""),"",IF(AND($CV169&lt;&gt;$CW169,$CW169=CD$110),$DK169,"")),"")</f>
      </c>
      <c s="76">
        <f>IF(ISERROR(VLOOKUP(CV169,$AL$8:$AL$15,1,FALSE))=TRUE,IF(CD169&lt;&gt;"",IF(CD169&gt;0,RANK(CD169,$CD$111:$CD$300),""),""),"")</f>
      </c>
      <c s="75">
        <f>IF(ISERROR(VLOOKUP(CV169,$AL$8:$AL$15,1,FALSE))=TRUE,IF(AND(ISERROR(FIND("NeighMkt",$CX$102))=FALSE,LEFT($CW$111,10)="ALL OUTLET",$CA169&lt;&gt;"",DK169&lt;&gt;""),"",IF(AND($CV169&lt;&gt;$CW169,$CW169=CF$110),$DK169,"")),"")</f>
      </c>
      <c s="76">
        <f>IF(ISERROR(VLOOKUP(CV169,$AL$8:$AL$15,1,FALSE))=TRUE,IF(CF169&lt;&gt;"",IF(CF169&gt;0,RANK(CF169,$CF$111:$CF$300),""),""),"")</f>
      </c>
      <c s="75">
        <f>IF(ISERROR(VLOOKUP(CV169,$AL$8:$AL$15,1,FALSE))=TRUE,IF(AND(ISERROR(FIND("NeighMkt",$CX$102))=FALSE,LEFT($CW$111,10)="ALL OUTLET",$CA169&lt;&gt;"",DK169&lt;&gt;""),"",IF(AND($CV169&lt;&gt;$CW169,$CW169=CH$110),$DK169,"")),"")</f>
      </c>
      <c s="76">
        <f>IF(ISERROR(VLOOKUP(CV169,$AL$8:$AL$15,1,FALSE))=TRUE,IF(CH169&lt;&gt;"",IF(CH169&gt;0,RANK(CH169,$CH$111:$CH$300),""),""),"")</f>
      </c>
      <c s="75">
        <f>IF(ISERROR(VLOOKUP(CV169,$AL$8:$AL$15,1,FALSE))=TRUE,IF(AND(ISERROR(FIND("NeighMkt",$CX$102))=FALSE,LEFT($CW$111,10)="ALL OUTLET",$CA169&lt;&gt;"",DK169&lt;&gt;""),"",IF($Z$4="",IF(AND($CV169&lt;&gt;$CW169,$CW169=CJ$110),$DK169,""),IF(AND($CV169&lt;&gt;$CW169,$CW169&lt;&gt;CD$110,$CW169&lt;&gt;CF$110,$CW169&lt;&gt;CH$110,$CW169&lt;&gt;$CV$111),$DK169,""))),"")</f>
      </c>
      <c s="76">
        <f>IF(ISERROR(VLOOKUP(CV169,$AL$8:$AL$15,1,FALSE))=TRUE,IF(CJ169&lt;&gt;"",IF(CJ169&gt;0,RANK(CJ169,$CJ$111:$CJ$300),""),""),"")</f>
      </c>
      <c s="75">
        <f>IF(ISERROR(VLOOKUP(CV169,$AL$8:$AL$15,1,FALSE))=TRUE,IF(AND(CV169=CW169,CV169&lt;&gt;"",DJ169&lt;&gt;""),IF(AND(ISERROR(FIND("NeighMkt",$CX$102))=FALSE,LEFT($CW$111,10)="ALL OUTLET"),DJ169-IF(ISERROR(VLOOKUP(CV169,$CA$113:$DK$300,36,FALSE))=TRUE,0,IF(VLOOKUP(CV169,$CA$113:$DK$300,36,FALSE)="",0,VLOOKUP(CV169,$CA$113:$DK$300,36,FALSE))),DJ169),""),"")</f>
      </c>
      <c s="76">
        <f>IF(ISERROR(VLOOKUP(CV169,$AL$8:$AL$15,1,FALSE))=TRUE,IF(CL169&lt;&gt;"",IF(CL169&gt;0,IF($Z$4&lt;&gt;"",MIN(4,RANK(CL169,$CL$111:$CL$300)),RANK(CL169,$CL$111:$CL$300)),""),""),"")</f>
      </c>
      <c s="75">
        <f>IF(ISERROR(VLOOKUP(CV169,$AL$8:$AL$15,1,FALSE))=TRUE,IF(AND(ISERROR(FIND("NeighMkt",$CX$102))=FALSE,LEFT($CW$111,10)="ALL OUTLET",$CA169&lt;&gt;"",DJ169&lt;&gt;""),"",IF(AND($CV169&lt;&gt;$CW169,$CW169=CN$110),$DJ169,"")),"")</f>
        <v>4924483.23010254</v>
      </c>
      <c s="76">
        <f>IF(ISERROR(VLOOKUP(CV169,$AL$8:$AL$15,1,FALSE))=TRUE,IF(CN169&lt;&gt;"",IF(CN169&gt;0,RANK(CN169,$CN$111:$CN$300),""),""),"")</f>
        <v>31</v>
      </c>
      <c s="75">
        <f>IF(ISERROR(VLOOKUP(CV169,$AL$8:$AL$15,1,FALSE))=TRUE,IF(AND(ISERROR(FIND("NeighMkt",$CX$102))=FALSE,LEFT($CW$111,10)="ALL OUTLET",$CA169&lt;&gt;"",DJ169&lt;&gt;""),"",IF(AND($CV169&lt;&gt;$CW169,$CW169=CP$110),$DJ169,"")),"")</f>
      </c>
      <c s="76">
        <f>IF(ISERROR(VLOOKUP(CV169,$AL$8:$AL$15,1,FALSE))=TRUE,IF(CP169&lt;&gt;"",IF(CP169&gt;0,RANK(CP169,$CP$111:$CP$300),""),""),"")</f>
      </c>
      <c s="75">
        <f>IF(ISERROR(VLOOKUP(CV169,$AL$8:$AL$15,1,FALSE))=TRUE,IF(AND(ISERROR(FIND("NeighMkt",$CX$102))=FALSE,LEFT($CW$111,10)="ALL OUTLET",$CA169&lt;&gt;"",DJ169&lt;&gt;""),"",IF(AND($CV169&lt;&gt;$CW169,$CW169=CR$110),$DJ169,"")),"")</f>
      </c>
      <c s="76">
        <f>IF(ISERROR(VLOOKUP(CV169,$AL$8:$AL$15,1,FALSE))=TRUE,IF(CR169&lt;&gt;"",IF(CR169&gt;0,RANK(CR169,$CR$111:$CR$300),""),""),"")</f>
      </c>
      <c s="75">
        <f>IF(ISERROR(VLOOKUP(CV169,$AL$8:$AL$15,1,FALSE))=TRUE,IF(AND(ISERROR(FIND("NeighMkt",$CX$102))=FALSE,LEFT($CW$111,10)="ALL OUTLET",$CA169&lt;&gt;"",DJ169&lt;&gt;""),"",IF($Z$4="",IF(AND($CV169&lt;&gt;$CW169,$CW169=CT$110),$DJ169,""),IF(AND($CV169&lt;&gt;$CW169,$CW169&lt;&gt;CN$110,$CW169&lt;&gt;CP$110,$CW169&lt;&gt;CR$110,$CW169&lt;&gt;$CV$111),$DJ169,""))),"")</f>
      </c>
      <c s="76">
        <f>IF(ISERROR(VLOOKUP(CV169,$AL$8:$AL$15,1,FALSE))=TRUE,IF(CT169&lt;&gt;"",IF(CT169&gt;0,RANK(CT169,$CT$111:$CT$300),""),""),"")</f>
      </c>
      <c s="65" t="str">
        <f t="shared" si="2"/>
        <v>Pathmark</v>
      </c>
      <c s="65" t="str">
        <f t="shared" si="3"/>
        <v>GroceryX</v>
      </c>
      <c s="72" t="str">
        <f>IF('[1]Leakage Tree Data'!A68&lt;&gt;"",'[1]Leakage Tree Data'!A68,"")</f>
        <v>Total US - Pathmark</v>
      </c>
      <c s="72" t="str">
        <f>IF('[1]Leakage Tree Data'!B68&lt;&gt;"",'[1]Leakage Tree Data'!B68,"")</f>
        <v>Total US - GroceryX</v>
      </c>
      <c s="72">
        <f>IF('[1]Leakage Tree Data'!C68&lt;&gt;"",'[1]Leakage Tree Data'!C68,"")</f>
        <v>121171760.292236</v>
      </c>
      <c s="72">
        <f>IF('[1]Leakage Tree Data'!D68&lt;&gt;"",'[1]Leakage Tree Data'!D68,"")</f>
        <v>2564329.57525635</v>
      </c>
      <c s="72">
        <f>IF('[1]Leakage Tree Data'!E68&lt;&gt;"",'[1]Leakage Tree Data'!E68,"")</f>
        <v>2.11627657225728</v>
      </c>
      <c s="72">
        <f>IF('[1]Leakage Tree Data'!F68&lt;&gt;"",'[1]Leakage Tree Data'!F68,"")</f>
        <v>118607430.71698</v>
      </c>
      <c s="72">
        <f>IF('[1]Leakage Tree Data'!G68&lt;&gt;"",'[1]Leakage Tree Data'!G68,"")</f>
        <v>97.8837234277427</v>
      </c>
      <c s="72">
        <f>IF('[1]Leakage Tree Data'!H68&lt;&gt;"",'[1]Leakage Tree Data'!H68,"")</f>
        <v>61518209.9918823</v>
      </c>
      <c s="72" t="str">
        <f>IF('[1]Leakage Tree Data'!I68&lt;&gt;"",'[1]Leakage Tree Data'!I68,"")</f>
        <v>GroceryX</v>
      </c>
      <c s="72">
        <f>IF('[1]Leakage Tree Data'!J68&lt;&gt;"",'[1]Leakage Tree Data'!J68,"")</f>
        <v>99.4731160483238</v>
      </c>
      <c s="72">
        <f>IF('[1]Leakage Tree Data'!K68&lt;&gt;"",'[1]Leakage Tree Data'!K68,"")</f>
        <v>324129.575805664</v>
      </c>
      <c s="72">
        <f>IF('[1]Leakage Tree Data'!L68&lt;&gt;"",'[1]Leakage Tree Data'!L68,"")</f>
      </c>
      <c s="72">
        <f>IF('[1]Leakage Tree Data'!M68&lt;&gt;"",'[1]Leakage Tree Data'!M68,"")</f>
        <v>4924483.23010254</v>
      </c>
      <c s="72">
        <f>IF('[1]Leakage Tree Data'!N68&lt;&gt;"",'[1]Leakage Tree Data'!N68,"")</f>
      </c>
      <c s="72">
        <f>IF('[1]Leakage Tree Data'!O68&lt;&gt;"",'[1]Leakage Tree Data'!O68,"")</f>
        <v>25.5932993439886</v>
      </c>
      <c s="72">
        <f>IF('[1]Leakage Tree Data'!P68&lt;&gt;"",'[1]Leakage Tree Data'!P68,"")</f>
        <v>488154.856718512</v>
      </c>
      <c s="72">
        <f>IF('[1]Leakage Tree Data'!Q68&lt;&gt;"",'[1]Leakage Tree Data'!Q68,"")</f>
      </c>
      <c s="72">
        <f>IF('[1]Leakage Tree Data'!R68&lt;&gt;"",'[1]Leakage Tree Data'!R68,"")</f>
        <v>1017625.85098267</v>
      </c>
      <c s="72">
        <f>IF('[1]Leakage Tree Data'!S68&lt;&gt;"",'[1]Leakage Tree Data'!S68,"")</f>
        <v>-363827.277893066</v>
      </c>
      <c s="72">
        <f>IF('[1]Leakage Tree Data'!T68&lt;&gt;"",'[1]Leakage Tree Data'!T68,"")</f>
        <v>-0.320723924451439</v>
      </c>
      <c s="72">
        <f>IF('[1]Leakage Tree Data'!U68&lt;&gt;"",'[1]Leakage Tree Data'!U68,"")</f>
        <v>1381453.12887573</v>
      </c>
      <c s="72">
        <f>IF('[1]Leakage Tree Data'!V68&lt;&gt;"",'[1]Leakage Tree Data'!V68,"")</f>
        <v>0.320723924451443</v>
      </c>
      <c s="72">
        <f>IF('[1]Leakage Tree Data'!W68&lt;&gt;"",'[1]Leakage Tree Data'!W68,"")</f>
        <v>-1855949.2237854</v>
      </c>
      <c s="72">
        <f>IF('[1]Leakage Tree Data'!X68&lt;&gt;"",'[1]Leakage Tree Data'!X68,"")</f>
      </c>
      <c s="72">
        <f>IF('[1]Leakage Tree Data'!Y68&lt;&gt;"",'[1]Leakage Tree Data'!Y68,"")</f>
        <v>0.121595842798243</v>
      </c>
      <c s="72">
        <f>IF('[1]Leakage Tree Data'!Z68&lt;&gt;"",'[1]Leakage Tree Data'!Z68,"")</f>
        <v>-86839.0416259766</v>
      </c>
      <c s="72">
        <f>IF('[1]Leakage Tree Data'!AA68&lt;&gt;"",'[1]Leakage Tree Data'!AA68,"")</f>
      </c>
      <c s="72">
        <f>IF('[1]Leakage Tree Data'!AB68&lt;&gt;"",'[1]Leakage Tree Data'!AB68,"")</f>
        <v>-2800038.25487518</v>
      </c>
      <c s="72">
        <f>IF('[1]Leakage Tree Data'!AC68&lt;&gt;"",'[1]Leakage Tree Data'!AC68,"")</f>
      </c>
      <c s="72">
        <f>IF('[1]Leakage Tree Data'!AD68&lt;&gt;"",'[1]Leakage Tree Data'!AD68,"")</f>
        <v>-5.73579781253524</v>
      </c>
      <c s="72">
        <f>IF('[1]Leakage Tree Data'!AE68&lt;&gt;"",'[1]Leakage Tree Data'!AE68,"")</f>
      </c>
      <c s="73">
        <f t="shared" si="11"/>
      </c>
      <c s="73">
        <f t="shared" si="12"/>
      </c>
      <c s="73">
        <f t="shared" si="13"/>
      </c>
      <c s="73">
        <f t="shared" si="14"/>
      </c>
      <c s="74">
        <f t="shared" si="15"/>
      </c>
      <c s="74">
        <f t="shared" si="16"/>
      </c>
      <c s="69" t="str">
        <f t="shared" si="0"/>
        <v>Total US - Pathmark</v>
      </c>
      <c s="69" t="str">
        <f t="shared" si="1"/>
        <v>Total US - GroceryX</v>
      </c>
      <c s="77"/>
    </row>
    <row r="170" spans="1:141" ht="15">
      <c r="A17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170,$AL$8:$AL$15,1,FALSE))=TRUE,IF(AND(CV170=CW170,CV170&lt;&gt;"",DI$111&lt;&gt;"",DK170&lt;&gt;""),IF(CW$101="Y",DK170-IF(ISERROR(VLOOKUP(CV170,$CA$113:$DK$300,37,FALSE))=TRUE,0,IF(VLOOKUP(CV170,$CA$113:$DK$300,37,FALSE)="",0,VLOOKUP(CV170,$CA$113:$DK$300,37,FALSE))),DK170-IF(AND(CW$102="Y",CV170=$CW$111),DI$111,0)),""),"")</f>
      </c>
      <c s="76">
        <f>IF(ISERROR(VLOOKUP(CV170,$AL$8:$AL$15,1,FALSE))=TRUE,IF(CB170&lt;&gt;"",IF(CB170&gt;0,IF(Z$4&lt;&gt;"",MIN(4,RANK(CB170,$CB$111:$CB$300)),RANK(CB170,$CB$111:$CB$300)),""),""),"")</f>
      </c>
      <c s="75">
        <f>IF(ISERROR(VLOOKUP(CV170,$AL$8:$AL$15,1,FALSE))=TRUE,IF(AND(ISERROR(FIND("NeighMkt",$CX$102))=FALSE,LEFT($CW$111,10)="ALL OUTLET",$CA170&lt;&gt;"",DK170&lt;&gt;""),"",IF(AND($CV170&lt;&gt;$CW170,$CW170=CD$110),$DK170,"")),"")</f>
      </c>
      <c s="76">
        <f>IF(ISERROR(VLOOKUP(CV170,$AL$8:$AL$15,1,FALSE))=TRUE,IF(CD170&lt;&gt;"",IF(CD170&gt;0,RANK(CD170,$CD$111:$CD$300),""),""),"")</f>
      </c>
      <c s="75">
        <f>IF(ISERROR(VLOOKUP(CV170,$AL$8:$AL$15,1,FALSE))=TRUE,IF(AND(ISERROR(FIND("NeighMkt",$CX$102))=FALSE,LEFT($CW$111,10)="ALL OUTLET",$CA170&lt;&gt;"",DK170&lt;&gt;""),"",IF(AND($CV170&lt;&gt;$CW170,$CW170=CF$110),$DK170,"")),"")</f>
      </c>
      <c s="76">
        <f>IF(ISERROR(VLOOKUP(CV170,$AL$8:$AL$15,1,FALSE))=TRUE,IF(CF170&lt;&gt;"",IF(CF170&gt;0,RANK(CF170,$CF$111:$CF$300),""),""),"")</f>
      </c>
      <c s="75">
        <f>IF(ISERROR(VLOOKUP(CV170,$AL$8:$AL$15,1,FALSE))=TRUE,IF(AND(ISERROR(FIND("NeighMkt",$CX$102))=FALSE,LEFT($CW$111,10)="ALL OUTLET",$CA170&lt;&gt;"",DK170&lt;&gt;""),"",IF(AND($CV170&lt;&gt;$CW170,$CW170=CH$110),$DK170,"")),"")</f>
      </c>
      <c s="76">
        <f>IF(ISERROR(VLOOKUP(CV170,$AL$8:$AL$15,1,FALSE))=TRUE,IF(CH170&lt;&gt;"",IF(CH170&gt;0,RANK(CH170,$CH$111:$CH$300),""),""),"")</f>
      </c>
      <c s="75">
        <f>IF(ISERROR(VLOOKUP(CV170,$AL$8:$AL$15,1,FALSE))=TRUE,IF(AND(ISERROR(FIND("NeighMkt",$CX$102))=FALSE,LEFT($CW$111,10)="ALL OUTLET",$CA170&lt;&gt;"",DK170&lt;&gt;""),"",IF($Z$4="",IF(AND($CV170&lt;&gt;$CW170,$CW170=CJ$110),$DK170,""),IF(AND($CV170&lt;&gt;$CW170,$CW170&lt;&gt;CD$110,$CW170&lt;&gt;CF$110,$CW170&lt;&gt;CH$110,$CW170&lt;&gt;$CV$111),$DK170,""))),"")</f>
      </c>
      <c s="76">
        <f>IF(ISERROR(VLOOKUP(CV170,$AL$8:$AL$15,1,FALSE))=TRUE,IF(CJ170&lt;&gt;"",IF(CJ170&gt;0,RANK(CJ170,$CJ$111:$CJ$300),""),""),"")</f>
      </c>
      <c s="75">
        <f>IF(ISERROR(VLOOKUP(CV170,$AL$8:$AL$15,1,FALSE))=TRUE,IF(AND(CV170=CW170,CV170&lt;&gt;"",DJ170&lt;&gt;""),IF(AND(ISERROR(FIND("NeighMkt",$CX$102))=FALSE,LEFT($CW$111,10)="ALL OUTLET"),DJ170-IF(ISERROR(VLOOKUP(CV170,$CA$113:$DK$300,36,FALSE))=TRUE,0,IF(VLOOKUP(CV170,$CA$113:$DK$300,36,FALSE)="",0,VLOOKUP(CV170,$CA$113:$DK$300,36,FALSE))),DJ170),""),"")</f>
      </c>
      <c s="76">
        <f>IF(ISERROR(VLOOKUP(CV170,$AL$8:$AL$15,1,FALSE))=TRUE,IF(CL170&lt;&gt;"",IF(CL170&gt;0,IF($Z$4&lt;&gt;"",MIN(4,RANK(CL170,$CL$111:$CL$300)),RANK(CL170,$CL$111:$CL$300)),""),""),"")</f>
      </c>
      <c s="75">
        <f>IF(ISERROR(VLOOKUP(CV170,$AL$8:$AL$15,1,FALSE))=TRUE,IF(AND(ISERROR(FIND("NeighMkt",$CX$102))=FALSE,LEFT($CW$111,10)="ALL OUTLET",$CA170&lt;&gt;"",DJ170&lt;&gt;""),"",IF(AND($CV170&lt;&gt;$CW170,$CW170=CN$110),$DJ170,"")),"")</f>
        <v>2941151.47918701</v>
      </c>
      <c s="76">
        <f>IF(ISERROR(VLOOKUP(CV170,$AL$8:$AL$15,1,FALSE))=TRUE,IF(CN170&lt;&gt;"",IF(CN170&gt;0,RANK(CN170,$CN$111:$CN$300),""),""),"")</f>
        <v>37</v>
      </c>
      <c s="75">
        <f>IF(ISERROR(VLOOKUP(CV170,$AL$8:$AL$15,1,FALSE))=TRUE,IF(AND(ISERROR(FIND("NeighMkt",$CX$102))=FALSE,LEFT($CW$111,10)="ALL OUTLET",$CA170&lt;&gt;"",DJ170&lt;&gt;""),"",IF(AND($CV170&lt;&gt;$CW170,$CW170=CP$110),$DJ170,"")),"")</f>
      </c>
      <c s="76">
        <f>IF(ISERROR(VLOOKUP(CV170,$AL$8:$AL$15,1,FALSE))=TRUE,IF(CP170&lt;&gt;"",IF(CP170&gt;0,RANK(CP170,$CP$111:$CP$300),""),""),"")</f>
      </c>
      <c s="75">
        <f>IF(ISERROR(VLOOKUP(CV170,$AL$8:$AL$15,1,FALSE))=TRUE,IF(AND(ISERROR(FIND("NeighMkt",$CX$102))=FALSE,LEFT($CW$111,10)="ALL OUTLET",$CA170&lt;&gt;"",DJ170&lt;&gt;""),"",IF(AND($CV170&lt;&gt;$CW170,$CW170=CR$110),$DJ170,"")),"")</f>
      </c>
      <c s="76">
        <f>IF(ISERROR(VLOOKUP(CV170,$AL$8:$AL$15,1,FALSE))=TRUE,IF(CR170&lt;&gt;"",IF(CR170&gt;0,RANK(CR170,$CR$111:$CR$300),""),""),"")</f>
      </c>
      <c s="75">
        <f>IF(ISERROR(VLOOKUP(CV170,$AL$8:$AL$15,1,FALSE))=TRUE,IF(AND(ISERROR(FIND("NeighMkt",$CX$102))=FALSE,LEFT($CW$111,10)="ALL OUTLET",$CA170&lt;&gt;"",DJ170&lt;&gt;""),"",IF($Z$4="",IF(AND($CV170&lt;&gt;$CW170,$CW170=CT$110),$DJ170,""),IF(AND($CV170&lt;&gt;$CW170,$CW170&lt;&gt;CN$110,$CW170&lt;&gt;CP$110,$CW170&lt;&gt;CR$110,$CW170&lt;&gt;$CV$111),$DJ170,""))),"")</f>
      </c>
      <c s="76">
        <f>IF(ISERROR(VLOOKUP(CV170,$AL$8:$AL$15,1,FALSE))=TRUE,IF(CT170&lt;&gt;"",IF(CT170&gt;0,RANK(CT170,$CT$111:$CT$300),""),""),"")</f>
      </c>
      <c s="65" t="str">
        <f t="shared" si="2"/>
        <v>Pick N Save</v>
      </c>
      <c s="65" t="str">
        <f t="shared" si="3"/>
        <v>GroceryX</v>
      </c>
      <c s="72" t="str">
        <f>IF('[1]Leakage Tree Data'!A69&lt;&gt;"",'[1]Leakage Tree Data'!A69,"")</f>
        <v>Total US - Pick N Save</v>
      </c>
      <c s="72" t="str">
        <f>IF('[1]Leakage Tree Data'!B69&lt;&gt;"",'[1]Leakage Tree Data'!B69,"")</f>
        <v>Total US - GroceryX</v>
      </c>
      <c s="72">
        <f>IF('[1]Leakage Tree Data'!C69&lt;&gt;"",'[1]Leakage Tree Data'!C69,"")</f>
        <v>121171760.292236</v>
      </c>
      <c s="72">
        <f>IF('[1]Leakage Tree Data'!D69&lt;&gt;"",'[1]Leakage Tree Data'!D69,"")</f>
        <v>1156001.49047852</v>
      </c>
      <c s="72">
        <f>IF('[1]Leakage Tree Data'!E69&lt;&gt;"",'[1]Leakage Tree Data'!E69,"")</f>
        <v>0.954018896556859</v>
      </c>
      <c s="72">
        <f>IF('[1]Leakage Tree Data'!F69&lt;&gt;"",'[1]Leakage Tree Data'!F69,"")</f>
        <v>120015758.801758</v>
      </c>
      <c s="72">
        <f>IF('[1]Leakage Tree Data'!G69&lt;&gt;"",'[1]Leakage Tree Data'!G69,"")</f>
        <v>99.0459811034431</v>
      </c>
      <c s="72">
        <f>IF('[1]Leakage Tree Data'!H69&lt;&gt;"",'[1]Leakage Tree Data'!H69,"")</f>
        <v>61518209.9918823</v>
      </c>
      <c s="72" t="str">
        <f>IF('[1]Leakage Tree Data'!I69&lt;&gt;"",'[1]Leakage Tree Data'!I69,"")</f>
        <v>GroceryX</v>
      </c>
      <c s="72">
        <f>IF('[1]Leakage Tree Data'!J69&lt;&gt;"",'[1]Leakage Tree Data'!J69,"")</f>
        <v>99.6051197772806</v>
      </c>
      <c s="72">
        <f>IF('[1]Leakage Tree Data'!K69&lt;&gt;"",'[1]Leakage Tree Data'!K69,"")</f>
        <v>242923.244628906</v>
      </c>
      <c s="72">
        <f>IF('[1]Leakage Tree Data'!L69&lt;&gt;"",'[1]Leakage Tree Data'!L69,"")</f>
      </c>
      <c s="72">
        <f>IF('[1]Leakage Tree Data'!M69&lt;&gt;"",'[1]Leakage Tree Data'!M69,"")</f>
        <v>2941151.47918701</v>
      </c>
      <c s="72">
        <f>IF('[1]Leakage Tree Data'!N69&lt;&gt;"",'[1]Leakage Tree Data'!N69,"")</f>
      </c>
      <c s="72">
        <f>IF('[1]Leakage Tree Data'!O69&lt;&gt;"",'[1]Leakage Tree Data'!O69,"")</f>
        <v>35.394167054273</v>
      </c>
      <c s="72">
        <f>IF('[1]Leakage Tree Data'!P69&lt;&gt;"",'[1]Leakage Tree Data'!P69,"")</f>
        <v>229689.572610307</v>
      </c>
      <c s="72">
        <f>IF('[1]Leakage Tree Data'!Q69&lt;&gt;"",'[1]Leakage Tree Data'!Q69,"")</f>
      </c>
      <c s="72">
        <f>IF('[1]Leakage Tree Data'!R69&lt;&gt;"",'[1]Leakage Tree Data'!R69,"")</f>
        <v>1017625.85098267</v>
      </c>
      <c s="72">
        <f>IF('[1]Leakage Tree Data'!S69&lt;&gt;"",'[1]Leakage Tree Data'!S69,"")</f>
        <v>-67347.1894836426</v>
      </c>
      <c s="72">
        <f>IF('[1]Leakage Tree Data'!T69&lt;&gt;"",'[1]Leakage Tree Data'!T69,"")</f>
        <v>-0.06413057091759</v>
      </c>
      <c s="72">
        <f>IF('[1]Leakage Tree Data'!U69&lt;&gt;"",'[1]Leakage Tree Data'!U69,"")</f>
        <v>1084973.04046631</v>
      </c>
      <c s="72">
        <f>IF('[1]Leakage Tree Data'!V69&lt;&gt;"",'[1]Leakage Tree Data'!V69,"")</f>
        <v>0.0641305709175839</v>
      </c>
      <c s="72">
        <f>IF('[1]Leakage Tree Data'!W69&lt;&gt;"",'[1]Leakage Tree Data'!W69,"")</f>
        <v>-1855949.2237854</v>
      </c>
      <c s="72">
        <f>IF('[1]Leakage Tree Data'!X69&lt;&gt;"",'[1]Leakage Tree Data'!X69,"")</f>
      </c>
      <c s="72">
        <f>IF('[1]Leakage Tree Data'!Y69&lt;&gt;"",'[1]Leakage Tree Data'!Y69,"")</f>
        <v>0.00889717611822505</v>
      </c>
      <c s="72">
        <f>IF('[1]Leakage Tree Data'!Z69&lt;&gt;"",'[1]Leakage Tree Data'!Z69,"")</f>
        <v>-12967.2869873047</v>
      </c>
      <c s="72">
        <f>IF('[1]Leakage Tree Data'!AA69&lt;&gt;"",'[1]Leakage Tree Data'!AA69,"")</f>
      </c>
      <c s="72">
        <f>IF('[1]Leakage Tree Data'!AB69&lt;&gt;"",'[1]Leakage Tree Data'!AB69,"")</f>
        <v>218870.694458008</v>
      </c>
      <c s="72">
        <f>IF('[1]Leakage Tree Data'!AC69&lt;&gt;"",'[1]Leakage Tree Data'!AC69,"")</f>
      </c>
      <c s="72">
        <f>IF('[1]Leakage Tree Data'!AD69&lt;&gt;"",'[1]Leakage Tree Data'!AD69,"")</f>
        <v>-1.2537410776039</v>
      </c>
      <c s="72">
        <f>IF('[1]Leakage Tree Data'!AE69&lt;&gt;"",'[1]Leakage Tree Data'!AE69,"")</f>
      </c>
      <c s="73">
        <f t="shared" si="11"/>
      </c>
      <c s="73">
        <f t="shared" si="12"/>
      </c>
      <c s="73">
        <f t="shared" si="13"/>
      </c>
      <c s="73">
        <f t="shared" si="14"/>
      </c>
      <c s="74">
        <f t="shared" si="15"/>
      </c>
      <c s="74">
        <f t="shared" si="16"/>
      </c>
      <c s="69" t="str">
        <f t="shared" si="0"/>
        <v>Total US - Pick N Save</v>
      </c>
      <c s="69" t="str">
        <f t="shared" si="1"/>
        <v>Total US - GroceryX</v>
      </c>
      <c s="77"/>
    </row>
    <row r="171" spans="1:141" ht="15">
      <c r="A17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171,$AL$8:$AL$15,1,FALSE))=TRUE,IF(AND(CV171=CW171,CV171&lt;&gt;"",DI$111&lt;&gt;"",DK171&lt;&gt;""),IF(CW$101="Y",DK171-IF(ISERROR(VLOOKUP(CV171,$CA$113:$DK$300,37,FALSE))=TRUE,0,IF(VLOOKUP(CV171,$CA$113:$DK$300,37,FALSE)="",0,VLOOKUP(CV171,$CA$113:$DK$300,37,FALSE))),DK171-IF(AND(CW$102="Y",CV171=$CW$111),DI$111,0)),""),"")</f>
      </c>
      <c s="76">
        <f>IF(ISERROR(VLOOKUP(CV171,$AL$8:$AL$15,1,FALSE))=TRUE,IF(CB171&lt;&gt;"",IF(CB171&gt;0,IF(Z$4&lt;&gt;"",MIN(4,RANK(CB171,$CB$111:$CB$300)),RANK(CB171,$CB$111:$CB$300)),""),""),"")</f>
      </c>
      <c s="75">
        <f>IF(ISERROR(VLOOKUP(CV171,$AL$8:$AL$15,1,FALSE))=TRUE,IF(AND(ISERROR(FIND("NeighMkt",$CX$102))=FALSE,LEFT($CW$111,10)="ALL OUTLET",$CA171&lt;&gt;"",DK171&lt;&gt;""),"",IF(AND($CV171&lt;&gt;$CW171,$CW171=CD$110),$DK171,"")),"")</f>
      </c>
      <c s="76">
        <f>IF(ISERROR(VLOOKUP(CV171,$AL$8:$AL$15,1,FALSE))=TRUE,IF(CD171&lt;&gt;"",IF(CD171&gt;0,RANK(CD171,$CD$111:$CD$300),""),""),"")</f>
      </c>
      <c s="75">
        <f>IF(ISERROR(VLOOKUP(CV171,$AL$8:$AL$15,1,FALSE))=TRUE,IF(AND(ISERROR(FIND("NeighMkt",$CX$102))=FALSE,LEFT($CW$111,10)="ALL OUTLET",$CA171&lt;&gt;"",DK171&lt;&gt;""),"",IF(AND($CV171&lt;&gt;$CW171,$CW171=CF$110),$DK171,"")),"")</f>
      </c>
      <c s="76">
        <f>IF(ISERROR(VLOOKUP(CV171,$AL$8:$AL$15,1,FALSE))=TRUE,IF(CF171&lt;&gt;"",IF(CF171&gt;0,RANK(CF171,$CF$111:$CF$300),""),""),"")</f>
      </c>
      <c s="75">
        <f>IF(ISERROR(VLOOKUP(CV171,$AL$8:$AL$15,1,FALSE))=TRUE,IF(AND(ISERROR(FIND("NeighMkt",$CX$102))=FALSE,LEFT($CW$111,10)="ALL OUTLET",$CA171&lt;&gt;"",DK171&lt;&gt;""),"",IF(AND($CV171&lt;&gt;$CW171,$CW171=CH$110),$DK171,"")),"")</f>
      </c>
      <c s="76">
        <f>IF(ISERROR(VLOOKUP(CV171,$AL$8:$AL$15,1,FALSE))=TRUE,IF(CH171&lt;&gt;"",IF(CH171&gt;0,RANK(CH171,$CH$111:$CH$300),""),""),"")</f>
      </c>
      <c s="75">
        <f>IF(ISERROR(VLOOKUP(CV171,$AL$8:$AL$15,1,FALSE))=TRUE,IF(AND(ISERROR(FIND("NeighMkt",$CX$102))=FALSE,LEFT($CW$111,10)="ALL OUTLET",$CA171&lt;&gt;"",DK171&lt;&gt;""),"",IF($Z$4="",IF(AND($CV171&lt;&gt;$CW171,$CW171=CJ$110),$DK171,""),IF(AND($CV171&lt;&gt;$CW171,$CW171&lt;&gt;CD$110,$CW171&lt;&gt;CF$110,$CW171&lt;&gt;CH$110,$CW171&lt;&gt;$CV$111),$DK171,""))),"")</f>
      </c>
      <c s="76">
        <f>IF(ISERROR(VLOOKUP(CV171,$AL$8:$AL$15,1,FALSE))=TRUE,IF(CJ171&lt;&gt;"",IF(CJ171&gt;0,RANK(CJ171,$CJ$111:$CJ$300),""),""),"")</f>
      </c>
      <c s="75">
        <f>IF(ISERROR(VLOOKUP(CV171,$AL$8:$AL$15,1,FALSE))=TRUE,IF(AND(CV171=CW171,CV171&lt;&gt;"",DJ171&lt;&gt;""),IF(AND(ISERROR(FIND("NeighMkt",$CX$102))=FALSE,LEFT($CW$111,10)="ALL OUTLET"),DJ171-IF(ISERROR(VLOOKUP(CV171,$CA$113:$DK$300,36,FALSE))=TRUE,0,IF(VLOOKUP(CV171,$CA$113:$DK$300,36,FALSE)="",0,VLOOKUP(CV171,$CA$113:$DK$300,36,FALSE))),DJ171),""),"")</f>
      </c>
      <c s="76">
        <f>IF(ISERROR(VLOOKUP(CV171,$AL$8:$AL$15,1,FALSE))=TRUE,IF(CL171&lt;&gt;"",IF(CL171&gt;0,IF($Z$4&lt;&gt;"",MIN(4,RANK(CL171,$CL$111:$CL$300)),RANK(CL171,$CL$111:$CL$300)),""),""),"")</f>
      </c>
      <c s="75">
        <f>IF(ISERROR(VLOOKUP(CV171,$AL$8:$AL$15,1,FALSE))=TRUE,IF(AND(ISERROR(FIND("NeighMkt",$CX$102))=FALSE,LEFT($CW$111,10)="ALL OUTLET",$CA171&lt;&gt;"",DJ171&lt;&gt;""),"",IF(AND($CV171&lt;&gt;$CW171,$CW171=CN$110),$DJ171,"")),"")</f>
        <v>2470128.81488037</v>
      </c>
      <c s="76">
        <f>IF(ISERROR(VLOOKUP(CV171,$AL$8:$AL$15,1,FALSE))=TRUE,IF(CN171&lt;&gt;"",IF(CN171&gt;0,RANK(CN171,$CN$111:$CN$300),""),""),"")</f>
        <v>39</v>
      </c>
      <c s="75">
        <f>IF(ISERROR(VLOOKUP(CV171,$AL$8:$AL$15,1,FALSE))=TRUE,IF(AND(ISERROR(FIND("NeighMkt",$CX$102))=FALSE,LEFT($CW$111,10)="ALL OUTLET",$CA171&lt;&gt;"",DJ171&lt;&gt;""),"",IF(AND($CV171&lt;&gt;$CW171,$CW171=CP$110),$DJ171,"")),"")</f>
      </c>
      <c s="76">
        <f>IF(ISERROR(VLOOKUP(CV171,$AL$8:$AL$15,1,FALSE))=TRUE,IF(CP171&lt;&gt;"",IF(CP171&gt;0,RANK(CP171,$CP$111:$CP$300),""),""),"")</f>
      </c>
      <c s="75">
        <f>IF(ISERROR(VLOOKUP(CV171,$AL$8:$AL$15,1,FALSE))=TRUE,IF(AND(ISERROR(FIND("NeighMkt",$CX$102))=FALSE,LEFT($CW$111,10)="ALL OUTLET",$CA171&lt;&gt;"",DJ171&lt;&gt;""),"",IF(AND($CV171&lt;&gt;$CW171,$CW171=CR$110),$DJ171,"")),"")</f>
      </c>
      <c s="76">
        <f>IF(ISERROR(VLOOKUP(CV171,$AL$8:$AL$15,1,FALSE))=TRUE,IF(CR171&lt;&gt;"",IF(CR171&gt;0,RANK(CR171,$CR$111:$CR$300),""),""),"")</f>
      </c>
      <c s="75">
        <f>IF(ISERROR(VLOOKUP(CV171,$AL$8:$AL$15,1,FALSE))=TRUE,IF(AND(ISERROR(FIND("NeighMkt",$CX$102))=FALSE,LEFT($CW$111,10)="ALL OUTLET",$CA171&lt;&gt;"",DJ171&lt;&gt;""),"",IF($Z$4="",IF(AND($CV171&lt;&gt;$CW171,$CW171=CT$110),$DJ171,""),IF(AND($CV171&lt;&gt;$CW171,$CW171&lt;&gt;CN$110,$CW171&lt;&gt;CP$110,$CW171&lt;&gt;CR$110,$CW171&lt;&gt;$CV$111),$DJ171,""))),"")</f>
      </c>
      <c s="76">
        <f>IF(ISERROR(VLOOKUP(CV171,$AL$8:$AL$15,1,FALSE))=TRUE,IF(CT171&lt;&gt;"",IF(CT171&gt;0,RANK(CT171,$CT$111:$CT$300),""),""),"")</f>
      </c>
      <c s="65" t="str">
        <f t="shared" si="2"/>
        <v>Piggly Wiggly</v>
      </c>
      <c s="65" t="str">
        <f t="shared" si="3"/>
        <v>GroceryX</v>
      </c>
      <c s="72" t="str">
        <f>IF('[1]Leakage Tree Data'!A70&lt;&gt;"",'[1]Leakage Tree Data'!A70,"")</f>
        <v>Total US - Piggly Wiggly</v>
      </c>
      <c s="72" t="str">
        <f>IF('[1]Leakage Tree Data'!B70&lt;&gt;"",'[1]Leakage Tree Data'!B70,"")</f>
        <v>Total US - GroceryX</v>
      </c>
      <c s="72">
        <f>IF('[1]Leakage Tree Data'!C70&lt;&gt;"",'[1]Leakage Tree Data'!C70,"")</f>
        <v>121171760.292236</v>
      </c>
      <c s="72">
        <f>IF('[1]Leakage Tree Data'!D70&lt;&gt;"",'[1]Leakage Tree Data'!D70,"")</f>
        <v>3273275.59637451</v>
      </c>
      <c s="72">
        <f>IF('[1]Leakage Tree Data'!E70&lt;&gt;"",'[1]Leakage Tree Data'!E70,"")</f>
        <v>2.70135185663737</v>
      </c>
      <c s="72">
        <f>IF('[1]Leakage Tree Data'!F70&lt;&gt;"",'[1]Leakage Tree Data'!F70,"")</f>
        <v>117898484.695862</v>
      </c>
      <c s="72">
        <f>IF('[1]Leakage Tree Data'!G70&lt;&gt;"",'[1]Leakage Tree Data'!G70,"")</f>
        <v>97.2986481433626</v>
      </c>
      <c s="72">
        <f>IF('[1]Leakage Tree Data'!H70&lt;&gt;"",'[1]Leakage Tree Data'!H70,"")</f>
        <v>61518209.9918823</v>
      </c>
      <c s="72" t="str">
        <f>IF('[1]Leakage Tree Data'!I70&lt;&gt;"",'[1]Leakage Tree Data'!I70,"")</f>
        <v>GroceryX</v>
      </c>
      <c s="72">
        <f>IF('[1]Leakage Tree Data'!J70&lt;&gt;"",'[1]Leakage Tree Data'!J70,"")</f>
        <v>99.6147765897626</v>
      </c>
      <c s="72">
        <f>IF('[1]Leakage Tree Data'!K70&lt;&gt;"",'[1]Leakage Tree Data'!K70,"")</f>
        <v>236982.546447754</v>
      </c>
      <c s="72">
        <f>IF('[1]Leakage Tree Data'!L70&lt;&gt;"",'[1]Leakage Tree Data'!L70,"")</f>
      </c>
      <c s="72">
        <f>IF('[1]Leakage Tree Data'!M70&lt;&gt;"",'[1]Leakage Tree Data'!M70,"")</f>
        <v>2470128.81488037</v>
      </c>
      <c s="72">
        <f>IF('[1]Leakage Tree Data'!N70&lt;&gt;"",'[1]Leakage Tree Data'!N70,"")</f>
      </c>
      <c s="72">
        <f>IF('[1]Leakage Tree Data'!O70&lt;&gt;"",'[1]Leakage Tree Data'!O70,"")</f>
        <v>18.1297494549732</v>
      </c>
      <c s="72">
        <f>IF('[1]Leakage Tree Data'!P70&lt;&gt;"",'[1]Leakage Tree Data'!P70,"")</f>
        <v>369053.094971839</v>
      </c>
      <c s="72">
        <f>IF('[1]Leakage Tree Data'!Q70&lt;&gt;"",'[1]Leakage Tree Data'!Q70,"")</f>
      </c>
      <c s="72">
        <f>IF('[1]Leakage Tree Data'!R70&lt;&gt;"",'[1]Leakage Tree Data'!R70,"")</f>
        <v>1017625.85098267</v>
      </c>
      <c s="72">
        <f>IF('[1]Leakage Tree Data'!S70&lt;&gt;"",'[1]Leakage Tree Data'!S70,"")</f>
        <v>-115347.588775635</v>
      </c>
      <c s="72">
        <f>IF('[1]Leakage Tree Data'!T70&lt;&gt;"",'[1]Leakage Tree Data'!T70,"")</f>
        <v>-0.118878342604693</v>
      </c>
      <c s="72">
        <f>IF('[1]Leakage Tree Data'!U70&lt;&gt;"",'[1]Leakage Tree Data'!U70,"")</f>
        <v>1132973.4397583</v>
      </c>
      <c s="72">
        <f>IF('[1]Leakage Tree Data'!V70&lt;&gt;"",'[1]Leakage Tree Data'!V70,"")</f>
        <v>0.118878342604688</v>
      </c>
      <c s="72">
        <f>IF('[1]Leakage Tree Data'!W70&lt;&gt;"",'[1]Leakage Tree Data'!W70,"")</f>
        <v>-1855949.2237854</v>
      </c>
      <c s="72">
        <f>IF('[1]Leakage Tree Data'!X70&lt;&gt;"",'[1]Leakage Tree Data'!X70,"")</f>
      </c>
      <c s="72">
        <f>IF('[1]Leakage Tree Data'!Y70&lt;&gt;"",'[1]Leakage Tree Data'!Y70,"")</f>
        <v>-0.02454899421204</v>
      </c>
      <c s="72">
        <f>IF('[1]Leakage Tree Data'!Z70&lt;&gt;"",'[1]Leakage Tree Data'!Z70,"")</f>
        <v>8408.16778564453</v>
      </c>
      <c s="72">
        <f>IF('[1]Leakage Tree Data'!AA70&lt;&gt;"",'[1]Leakage Tree Data'!AA70,"")</f>
      </c>
      <c s="72">
        <f>IF('[1]Leakage Tree Data'!AB70&lt;&gt;"",'[1]Leakage Tree Data'!AB70,"")</f>
        <v>-569386.783935547</v>
      </c>
      <c s="72">
        <f>IF('[1]Leakage Tree Data'!AC70&lt;&gt;"",'[1]Leakage Tree Data'!AC70,"")</f>
      </c>
      <c s="72">
        <f>IF('[1]Leakage Tree Data'!AD70&lt;&gt;"",'[1]Leakage Tree Data'!AD70,"")</f>
        <v>0.747887436503316</v>
      </c>
      <c s="72">
        <f>IF('[1]Leakage Tree Data'!AE70&lt;&gt;"",'[1]Leakage Tree Data'!AE70,"")</f>
      </c>
      <c s="73">
        <f t="shared" si="11"/>
      </c>
      <c s="73">
        <f t="shared" si="12"/>
      </c>
      <c s="73">
        <f t="shared" si="13"/>
      </c>
      <c s="73">
        <f t="shared" si="14"/>
      </c>
      <c s="74">
        <f t="shared" si="15"/>
      </c>
      <c s="74">
        <f t="shared" si="16"/>
      </c>
      <c s="69" t="str">
        <f t="shared" si="0"/>
        <v>Total US - Piggly Wiggly</v>
      </c>
      <c s="69" t="str">
        <f t="shared" si="1"/>
        <v>Total US - GroceryX</v>
      </c>
      <c s="77"/>
    </row>
    <row r="172" spans="1:141" ht="15">
      <c r="A17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172,$AL$8:$AL$15,1,FALSE))=TRUE,IF(AND(CV172=CW172,CV172&lt;&gt;"",DI$111&lt;&gt;"",DK172&lt;&gt;""),IF(CW$101="Y",DK172-IF(ISERROR(VLOOKUP(CV172,$CA$113:$DK$300,37,FALSE))=TRUE,0,IF(VLOOKUP(CV172,$CA$113:$DK$300,37,FALSE)="",0,VLOOKUP(CV172,$CA$113:$DK$300,37,FALSE))),DK172-IF(AND(CW$102="Y",CV172=$CW$111),DI$111,0)),""),"")</f>
      </c>
      <c s="76">
        <f>IF(ISERROR(VLOOKUP(CV172,$AL$8:$AL$15,1,FALSE))=TRUE,IF(CB172&lt;&gt;"",IF(CB172&gt;0,IF(Z$4&lt;&gt;"",MIN(4,RANK(CB172,$CB$111:$CB$300)),RANK(CB172,$CB$111:$CB$300)),""),""),"")</f>
      </c>
      <c s="75">
        <f>IF(ISERROR(VLOOKUP(CV172,$AL$8:$AL$15,1,FALSE))=TRUE,IF(AND(ISERROR(FIND("NeighMkt",$CX$102))=FALSE,LEFT($CW$111,10)="ALL OUTLET",$CA172&lt;&gt;"",DK172&lt;&gt;""),"",IF(AND($CV172&lt;&gt;$CW172,$CW172=CD$110),$DK172,"")),"")</f>
        <v>1769158.40209961</v>
      </c>
      <c s="76">
        <f>IF(ISERROR(VLOOKUP(CV172,$AL$8:$AL$15,1,FALSE))=TRUE,IF(CD172&lt;&gt;"",IF(CD172&gt;0,RANK(CD172,$CD$111:$CD$300),""),""),"")</f>
        <v>27</v>
      </c>
      <c s="75">
        <f>IF(ISERROR(VLOOKUP(CV172,$AL$8:$AL$15,1,FALSE))=TRUE,IF(AND(ISERROR(FIND("NeighMkt",$CX$102))=FALSE,LEFT($CW$111,10)="ALL OUTLET",$CA172&lt;&gt;"",DK172&lt;&gt;""),"",IF(AND($CV172&lt;&gt;$CW172,$CW172=CF$110),$DK172,"")),"")</f>
      </c>
      <c s="76">
        <f>IF(ISERROR(VLOOKUP(CV172,$AL$8:$AL$15,1,FALSE))=TRUE,IF(CF172&lt;&gt;"",IF(CF172&gt;0,RANK(CF172,$CF$111:$CF$300),""),""),"")</f>
      </c>
      <c s="75">
        <f>IF(ISERROR(VLOOKUP(CV172,$AL$8:$AL$15,1,FALSE))=TRUE,IF(AND(ISERROR(FIND("NeighMkt",$CX$102))=FALSE,LEFT($CW$111,10)="ALL OUTLET",$CA172&lt;&gt;"",DK172&lt;&gt;""),"",IF(AND($CV172&lt;&gt;$CW172,$CW172=CH$110),$DK172,"")),"")</f>
      </c>
      <c s="76">
        <f>IF(ISERROR(VLOOKUP(CV172,$AL$8:$AL$15,1,FALSE))=TRUE,IF(CH172&lt;&gt;"",IF(CH172&gt;0,RANK(CH172,$CH$111:$CH$300),""),""),"")</f>
      </c>
      <c s="75">
        <f>IF(ISERROR(VLOOKUP(CV172,$AL$8:$AL$15,1,FALSE))=TRUE,IF(AND(ISERROR(FIND("NeighMkt",$CX$102))=FALSE,LEFT($CW$111,10)="ALL OUTLET",$CA172&lt;&gt;"",DK172&lt;&gt;""),"",IF($Z$4="",IF(AND($CV172&lt;&gt;$CW172,$CW172=CJ$110),$DK172,""),IF(AND($CV172&lt;&gt;$CW172,$CW172&lt;&gt;CD$110,$CW172&lt;&gt;CF$110,$CW172&lt;&gt;CH$110,$CW172&lt;&gt;$CV$111),$DK172,""))),"")</f>
      </c>
      <c s="76">
        <f>IF(ISERROR(VLOOKUP(CV172,$AL$8:$AL$15,1,FALSE))=TRUE,IF(CJ172&lt;&gt;"",IF(CJ172&gt;0,RANK(CJ172,$CJ$111:$CJ$300),""),""),"")</f>
      </c>
      <c s="75">
        <f>IF(ISERROR(VLOOKUP(CV172,$AL$8:$AL$15,1,FALSE))=TRUE,IF(AND(CV172=CW172,CV172&lt;&gt;"",DJ172&lt;&gt;""),IF(AND(ISERROR(FIND("NeighMkt",$CX$102))=FALSE,LEFT($CW$111,10)="ALL OUTLET"),DJ172-IF(ISERROR(VLOOKUP(CV172,$CA$113:$DK$300,36,FALSE))=TRUE,0,IF(VLOOKUP(CV172,$CA$113:$DK$300,36,FALSE)="",0,VLOOKUP(CV172,$CA$113:$DK$300,36,FALSE))),DJ172),""),"")</f>
      </c>
      <c s="76">
        <f>IF(ISERROR(VLOOKUP(CV172,$AL$8:$AL$15,1,FALSE))=TRUE,IF(CL172&lt;&gt;"",IF(CL172&gt;0,IF($Z$4&lt;&gt;"",MIN(4,RANK(CL172,$CL$111:$CL$300)),RANK(CL172,$CL$111:$CL$300)),""),""),"")</f>
      </c>
      <c s="75">
        <f>IF(ISERROR(VLOOKUP(CV172,$AL$8:$AL$15,1,FALSE))=TRUE,IF(AND(ISERROR(FIND("NeighMkt",$CX$102))=FALSE,LEFT($CW$111,10)="ALL OUTLET",$CA172&lt;&gt;"",DJ172&lt;&gt;""),"",IF(AND($CV172&lt;&gt;$CW172,$CW172=CN$110),$DJ172,"")),"")</f>
        <v>7302698.63381958</v>
      </c>
      <c s="76">
        <f>IF(ISERROR(VLOOKUP(CV172,$AL$8:$AL$15,1,FALSE))=TRUE,IF(CN172&lt;&gt;"",IF(CN172&gt;0,RANK(CN172,$CN$111:$CN$300),""),""),"")</f>
        <v>21</v>
      </c>
      <c s="75">
        <f>IF(ISERROR(VLOOKUP(CV172,$AL$8:$AL$15,1,FALSE))=TRUE,IF(AND(ISERROR(FIND("NeighMkt",$CX$102))=FALSE,LEFT($CW$111,10)="ALL OUTLET",$CA172&lt;&gt;"",DJ172&lt;&gt;""),"",IF(AND($CV172&lt;&gt;$CW172,$CW172=CP$110),$DJ172,"")),"")</f>
      </c>
      <c s="76">
        <f>IF(ISERROR(VLOOKUP(CV172,$AL$8:$AL$15,1,FALSE))=TRUE,IF(CP172&lt;&gt;"",IF(CP172&gt;0,RANK(CP172,$CP$111:$CP$300),""),""),"")</f>
      </c>
      <c s="75">
        <f>IF(ISERROR(VLOOKUP(CV172,$AL$8:$AL$15,1,FALSE))=TRUE,IF(AND(ISERROR(FIND("NeighMkt",$CX$102))=FALSE,LEFT($CW$111,10)="ALL OUTLET",$CA172&lt;&gt;"",DJ172&lt;&gt;""),"",IF(AND($CV172&lt;&gt;$CW172,$CW172=CR$110),$DJ172,"")),"")</f>
      </c>
      <c s="76">
        <f>IF(ISERROR(VLOOKUP(CV172,$AL$8:$AL$15,1,FALSE))=TRUE,IF(CR172&lt;&gt;"",IF(CR172&gt;0,RANK(CR172,$CR$111:$CR$300),""),""),"")</f>
      </c>
      <c s="75">
        <f>IF(ISERROR(VLOOKUP(CV172,$AL$8:$AL$15,1,FALSE))=TRUE,IF(AND(ISERROR(FIND("NeighMkt",$CX$102))=FALSE,LEFT($CW$111,10)="ALL OUTLET",$CA172&lt;&gt;"",DJ172&lt;&gt;""),"",IF($Z$4="",IF(AND($CV172&lt;&gt;$CW172,$CW172=CT$110),$DJ172,""),IF(AND($CV172&lt;&gt;$CW172,$CW172&lt;&gt;CN$110,$CW172&lt;&gt;CP$110,$CW172&lt;&gt;CR$110,$CW172&lt;&gt;$CV$111),$DJ172,""))),"")</f>
      </c>
      <c s="76">
        <f>IF(ISERROR(VLOOKUP(CV172,$AL$8:$AL$15,1,FALSE))=TRUE,IF(CT172&lt;&gt;"",IF(CT172&gt;0,RANK(CT172,$CT$111:$CT$300),""),""),"")</f>
      </c>
      <c s="65" t="str">
        <f t="shared" si="2"/>
        <v>Price Chopper</v>
      </c>
      <c s="65" t="str">
        <f t="shared" si="3"/>
        <v>GroceryX</v>
      </c>
      <c s="72" t="str">
        <f>IF('[1]Leakage Tree Data'!A71&lt;&gt;"",'[1]Leakage Tree Data'!A71,"")</f>
        <v>Total US - Price Chopper</v>
      </c>
      <c s="72" t="str">
        <f>IF('[1]Leakage Tree Data'!B71&lt;&gt;"",'[1]Leakage Tree Data'!B71,"")</f>
        <v>Total US - GroceryX</v>
      </c>
      <c s="72">
        <f>IF('[1]Leakage Tree Data'!C71&lt;&gt;"",'[1]Leakage Tree Data'!C71,"")</f>
        <v>121171760.292236</v>
      </c>
      <c s="72">
        <f>IF('[1]Leakage Tree Data'!D71&lt;&gt;"",'[1]Leakage Tree Data'!D71,"")</f>
        <v>2056375.40771484</v>
      </c>
      <c s="72">
        <f>IF('[1]Leakage Tree Data'!E71&lt;&gt;"",'[1]Leakage Tree Data'!E71,"")</f>
        <v>1.69707479923984</v>
      </c>
      <c s="72">
        <f>IF('[1]Leakage Tree Data'!F71&lt;&gt;"",'[1]Leakage Tree Data'!F71,"")</f>
        <v>119115384.884521</v>
      </c>
      <c s="72">
        <f>IF('[1]Leakage Tree Data'!G71&lt;&gt;"",'[1]Leakage Tree Data'!G71,"")</f>
        <v>98.3029252007602</v>
      </c>
      <c s="72">
        <f>IF('[1]Leakage Tree Data'!H71&lt;&gt;"",'[1]Leakage Tree Data'!H71,"")</f>
        <v>61518209.9918823</v>
      </c>
      <c s="72" t="str">
        <f>IF('[1]Leakage Tree Data'!I71&lt;&gt;"",'[1]Leakage Tree Data'!I71,"")</f>
        <v>GroceryX</v>
      </c>
      <c s="72">
        <f>IF('[1]Leakage Tree Data'!J71&lt;&gt;"",'[1]Leakage Tree Data'!J71,"")</f>
        <v>99.267635421736</v>
      </c>
      <c s="72">
        <f>IF('[1]Leakage Tree Data'!K71&lt;&gt;"",'[1]Leakage Tree Data'!K71,"")</f>
        <v>450537.579162598</v>
      </c>
      <c s="72">
        <f>IF('[1]Leakage Tree Data'!L71&lt;&gt;"",'[1]Leakage Tree Data'!L71,"")</f>
        <v>1769158.40209961</v>
      </c>
      <c s="72">
        <f>IF('[1]Leakage Tree Data'!M71&lt;&gt;"",'[1]Leakage Tree Data'!M71,"")</f>
        <v>7302698.63381958</v>
      </c>
      <c s="72">
        <f>IF('[1]Leakage Tree Data'!N71&lt;&gt;"",'[1]Leakage Tree Data'!N71,"")</f>
        <v>1769158.40209961</v>
      </c>
      <c s="72">
        <f>IF('[1]Leakage Tree Data'!O71&lt;&gt;"",'[1]Leakage Tree Data'!O71,"")</f>
        <v>46.3361039975683</v>
      </c>
      <c s="72">
        <f>IF('[1]Leakage Tree Data'!P71&lt;&gt;"",'[1]Leakage Tree Data'!P71,"")</f>
        <v>540596.052116878</v>
      </c>
      <c s="72">
        <f>IF('[1]Leakage Tree Data'!Q71&lt;&gt;"",'[1]Leakage Tree Data'!Q71,"")</f>
      </c>
      <c s="72">
        <f>IF('[1]Leakage Tree Data'!R71&lt;&gt;"",'[1]Leakage Tree Data'!R71,"")</f>
        <v>1017625.85098267</v>
      </c>
      <c s="72">
        <f>IF('[1]Leakage Tree Data'!S71&lt;&gt;"",'[1]Leakage Tree Data'!S71,"")</f>
        <v>-90622.0295410156</v>
      </c>
      <c s="72">
        <f>IF('[1]Leakage Tree Data'!T71&lt;&gt;"",'[1]Leakage Tree Data'!T71,"")</f>
        <v>-0.0897945808609222</v>
      </c>
      <c s="72">
        <f>IF('[1]Leakage Tree Data'!U71&lt;&gt;"",'[1]Leakage Tree Data'!U71,"")</f>
        <v>1108247.88052368</v>
      </c>
      <c s="72">
        <f>IF('[1]Leakage Tree Data'!V71&lt;&gt;"",'[1]Leakage Tree Data'!V71,"")</f>
        <v>0.0897945808609251</v>
      </c>
      <c s="72">
        <f>IF('[1]Leakage Tree Data'!W71&lt;&gt;"",'[1]Leakage Tree Data'!W71,"")</f>
        <v>-1855949.2237854</v>
      </c>
      <c s="72">
        <f>IF('[1]Leakage Tree Data'!X71&lt;&gt;"",'[1]Leakage Tree Data'!X71,"")</f>
      </c>
      <c s="72">
        <f>IF('[1]Leakage Tree Data'!Y71&lt;&gt;"",'[1]Leakage Tree Data'!Y71,"")</f>
        <v>0.0456949391651023</v>
      </c>
      <c s="72">
        <f>IF('[1]Leakage Tree Data'!Z71&lt;&gt;"",'[1]Leakage Tree Data'!Z71,"")</f>
        <v>-42551.0982055664</v>
      </c>
      <c s="72">
        <f>IF('[1]Leakage Tree Data'!AA71&lt;&gt;"",'[1]Leakage Tree Data'!AA71,"")</f>
        <v>-160526.488998413</v>
      </c>
      <c s="72">
        <f>IF('[1]Leakage Tree Data'!AB71&lt;&gt;"",'[1]Leakage Tree Data'!AB71,"")</f>
        <v>-1303046.68374634</v>
      </c>
      <c s="72">
        <f>IF('[1]Leakage Tree Data'!AC71&lt;&gt;"",'[1]Leakage Tree Data'!AC71,"")</f>
        <v>-160526.488998413</v>
      </c>
      <c s="72">
        <f>IF('[1]Leakage Tree Data'!AD71&lt;&gt;"",'[1]Leakage Tree Data'!AD71,"")</f>
        <v>0.434546600626355</v>
      </c>
      <c s="72">
        <f>IF('[1]Leakage Tree Data'!AE71&lt;&gt;"",'[1]Leakage Tree Data'!AE71,"")</f>
      </c>
      <c s="73">
        <f t="shared" si="11"/>
      </c>
      <c s="73">
        <f t="shared" si="12"/>
      </c>
      <c s="73">
        <f t="shared" si="13"/>
      </c>
      <c s="73">
        <f t="shared" si="14"/>
      </c>
      <c s="74">
        <f t="shared" si="15"/>
      </c>
      <c s="74">
        <f t="shared" si="16"/>
      </c>
      <c s="69" t="str">
        <f t="shared" si="0"/>
        <v>Total US - Price Chopper</v>
      </c>
      <c s="69" t="str">
        <f t="shared" si="1"/>
        <v>Total US - GroceryX</v>
      </c>
      <c s="77"/>
    </row>
    <row r="173" spans="1:141" ht="15">
      <c r="A17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173,$AL$8:$AL$15,1,FALSE))=TRUE,IF(AND(CV173=CW173,CV173&lt;&gt;"",DI$111&lt;&gt;"",DK173&lt;&gt;""),IF(CW$101="Y",DK173-IF(ISERROR(VLOOKUP(CV173,$CA$113:$DK$300,37,FALSE))=TRUE,0,IF(VLOOKUP(CV173,$CA$113:$DK$300,37,FALSE)="",0,VLOOKUP(CV173,$CA$113:$DK$300,37,FALSE))),DK173-IF(AND(CW$102="Y",CV173=$CW$111),DI$111,0)),""),"")</f>
      </c>
      <c s="76">
        <f>IF(ISERROR(VLOOKUP(CV173,$AL$8:$AL$15,1,FALSE))=TRUE,IF(CB173&lt;&gt;"",IF(CB173&gt;0,IF(Z$4&lt;&gt;"",MIN(4,RANK(CB173,$CB$111:$CB$300)),RANK(CB173,$CB$111:$CB$300)),""),""),"")</f>
      </c>
      <c s="75">
        <f>IF(ISERROR(VLOOKUP(CV173,$AL$8:$AL$15,1,FALSE))=TRUE,IF(AND(ISERROR(FIND("NeighMkt",$CX$102))=FALSE,LEFT($CW$111,10)="ALL OUTLET",$CA173&lt;&gt;"",DK173&lt;&gt;""),"",IF(AND($CV173&lt;&gt;$CW173,$CW173=CD$110),$DK173,"")),"")</f>
      </c>
      <c s="76">
        <f>IF(ISERROR(VLOOKUP(CV173,$AL$8:$AL$15,1,FALSE))=TRUE,IF(CD173&lt;&gt;"",IF(CD173&gt;0,RANK(CD173,$CD$111:$CD$300),""),""),"")</f>
      </c>
      <c s="75">
        <f>IF(ISERROR(VLOOKUP(CV173,$AL$8:$AL$15,1,FALSE))=TRUE,IF(AND(ISERROR(FIND("NeighMkt",$CX$102))=FALSE,LEFT($CW$111,10)="ALL OUTLET",$CA173&lt;&gt;"",DK173&lt;&gt;""),"",IF(AND($CV173&lt;&gt;$CW173,$CW173=CF$110),$DK173,"")),"")</f>
      </c>
      <c s="76">
        <f>IF(ISERROR(VLOOKUP(CV173,$AL$8:$AL$15,1,FALSE))=TRUE,IF(CF173&lt;&gt;"",IF(CF173&gt;0,RANK(CF173,$CF$111:$CF$300),""),""),"")</f>
      </c>
      <c s="75">
        <f>IF(ISERROR(VLOOKUP(CV173,$AL$8:$AL$15,1,FALSE))=TRUE,IF(AND(ISERROR(FIND("NeighMkt",$CX$102))=FALSE,LEFT($CW$111,10)="ALL OUTLET",$CA173&lt;&gt;"",DK173&lt;&gt;""),"",IF(AND($CV173&lt;&gt;$CW173,$CW173=CH$110),$DK173,"")),"")</f>
      </c>
      <c s="76">
        <f>IF(ISERROR(VLOOKUP(CV173,$AL$8:$AL$15,1,FALSE))=TRUE,IF(CH173&lt;&gt;"",IF(CH173&gt;0,RANK(CH173,$CH$111:$CH$300),""),""),"")</f>
      </c>
      <c s="75">
        <f>IF(ISERROR(VLOOKUP(CV173,$AL$8:$AL$15,1,FALSE))=TRUE,IF(AND(ISERROR(FIND("NeighMkt",$CX$102))=FALSE,LEFT($CW$111,10)="ALL OUTLET",$CA173&lt;&gt;"",DK173&lt;&gt;""),"",IF($Z$4="",IF(AND($CV173&lt;&gt;$CW173,$CW173=CJ$110),$DK173,""),IF(AND($CV173&lt;&gt;$CW173,$CW173&lt;&gt;CD$110,$CW173&lt;&gt;CF$110,$CW173&lt;&gt;CH$110,$CW173&lt;&gt;$CV$111),$DK173,""))),"")</f>
      </c>
      <c s="76">
        <f>IF(ISERROR(VLOOKUP(CV173,$AL$8:$AL$15,1,FALSE))=TRUE,IF(CJ173&lt;&gt;"",IF(CJ173&gt;0,RANK(CJ173,$CJ$111:$CJ$300),""),""),"")</f>
      </c>
      <c s="75">
        <f>IF(ISERROR(VLOOKUP(CV173,$AL$8:$AL$15,1,FALSE))=TRUE,IF(AND(CV173=CW173,CV173&lt;&gt;"",DJ173&lt;&gt;""),IF(AND(ISERROR(FIND("NeighMkt",$CX$102))=FALSE,LEFT($CW$111,10)="ALL OUTLET"),DJ173-IF(ISERROR(VLOOKUP(CV173,$CA$113:$DK$300,36,FALSE))=TRUE,0,IF(VLOOKUP(CV173,$CA$113:$DK$300,36,FALSE)="",0,VLOOKUP(CV173,$CA$113:$DK$300,36,FALSE))),DJ173),""),"")</f>
      </c>
      <c s="76">
        <f>IF(ISERROR(VLOOKUP(CV173,$AL$8:$AL$15,1,FALSE))=TRUE,IF(CL173&lt;&gt;"",IF(CL173&gt;0,IF($Z$4&lt;&gt;"",MIN(4,RANK(CL173,$CL$111:$CL$300)),RANK(CL173,$CL$111:$CL$300)),""),""),"")</f>
      </c>
      <c s="75">
        <f>IF(ISERROR(VLOOKUP(CV173,$AL$8:$AL$15,1,FALSE))=TRUE,IF(AND(ISERROR(FIND("NeighMkt",$CX$102))=FALSE,LEFT($CW$111,10)="ALL OUTLET",$CA173&lt;&gt;"",DJ173&lt;&gt;""),"",IF(AND($CV173&lt;&gt;$CW173,$CW173=CN$110),$DJ173,"")),"")</f>
        <v>1395901.42642212</v>
      </c>
      <c s="76">
        <f>IF(ISERROR(VLOOKUP(CV173,$AL$8:$AL$15,1,FALSE))=TRUE,IF(CN173&lt;&gt;"",IF(CN173&gt;0,RANK(CN173,$CN$111:$CN$300),""),""),"")</f>
        <v>48</v>
      </c>
      <c s="75">
        <f>IF(ISERROR(VLOOKUP(CV173,$AL$8:$AL$15,1,FALSE))=TRUE,IF(AND(ISERROR(FIND("NeighMkt",$CX$102))=FALSE,LEFT($CW$111,10)="ALL OUTLET",$CA173&lt;&gt;"",DJ173&lt;&gt;""),"",IF(AND($CV173&lt;&gt;$CW173,$CW173=CP$110),$DJ173,"")),"")</f>
      </c>
      <c s="76">
        <f>IF(ISERROR(VLOOKUP(CV173,$AL$8:$AL$15,1,FALSE))=TRUE,IF(CP173&lt;&gt;"",IF(CP173&gt;0,RANK(CP173,$CP$111:$CP$300),""),""),"")</f>
      </c>
      <c s="75">
        <f>IF(ISERROR(VLOOKUP(CV173,$AL$8:$AL$15,1,FALSE))=TRUE,IF(AND(ISERROR(FIND("NeighMkt",$CX$102))=FALSE,LEFT($CW$111,10)="ALL OUTLET",$CA173&lt;&gt;"",DJ173&lt;&gt;""),"",IF(AND($CV173&lt;&gt;$CW173,$CW173=CR$110),$DJ173,"")),"")</f>
      </c>
      <c s="76">
        <f>IF(ISERROR(VLOOKUP(CV173,$AL$8:$AL$15,1,FALSE))=TRUE,IF(CR173&lt;&gt;"",IF(CR173&gt;0,RANK(CR173,$CR$111:$CR$300),""),""),"")</f>
      </c>
      <c s="75">
        <f>IF(ISERROR(VLOOKUP(CV173,$AL$8:$AL$15,1,FALSE))=TRUE,IF(AND(ISERROR(FIND("NeighMkt",$CX$102))=FALSE,LEFT($CW$111,10)="ALL OUTLET",$CA173&lt;&gt;"",DJ173&lt;&gt;""),"",IF($Z$4="",IF(AND($CV173&lt;&gt;$CW173,$CW173=CT$110),$DJ173,""),IF(AND($CV173&lt;&gt;$CW173,$CW173&lt;&gt;CN$110,$CW173&lt;&gt;CP$110,$CW173&lt;&gt;CR$110,$CW173&lt;&gt;$CV$111),$DJ173,""))),"")</f>
      </c>
      <c s="76">
        <f>IF(ISERROR(VLOOKUP(CV173,$AL$8:$AL$15,1,FALSE))=TRUE,IF(CT173&lt;&gt;"",IF(CT173&gt;0,RANK(CT173,$CT$111:$CT$300),""),""),"")</f>
      </c>
      <c s="65" t="str">
        <f t="shared" si="2"/>
        <v>Price Rite</v>
      </c>
      <c s="65" t="str">
        <f t="shared" si="3"/>
        <v>GroceryX</v>
      </c>
      <c s="72" t="str">
        <f>IF('[1]Leakage Tree Data'!A72&lt;&gt;"",'[1]Leakage Tree Data'!A72,"")</f>
        <v>Total US - Price Rite</v>
      </c>
      <c s="72" t="str">
        <f>IF('[1]Leakage Tree Data'!B72&lt;&gt;"",'[1]Leakage Tree Data'!B72,"")</f>
        <v>Total US - GroceryX</v>
      </c>
      <c s="72">
        <f>IF('[1]Leakage Tree Data'!C72&lt;&gt;"",'[1]Leakage Tree Data'!C72,"")</f>
        <v>121171760.292236</v>
      </c>
      <c s="72">
        <f>IF('[1]Leakage Tree Data'!D72&lt;&gt;"",'[1]Leakage Tree Data'!D72,"")</f>
        <v>1369646.6583252</v>
      </c>
      <c s="72">
        <f>IF('[1]Leakage Tree Data'!E72&lt;&gt;"",'[1]Leakage Tree Data'!E72,"")</f>
        <v>1.13033486929788</v>
      </c>
      <c s="72">
        <f>IF('[1]Leakage Tree Data'!F72&lt;&gt;"",'[1]Leakage Tree Data'!F72,"")</f>
        <v>119802113.633911</v>
      </c>
      <c s="72">
        <f>IF('[1]Leakage Tree Data'!G72&lt;&gt;"",'[1]Leakage Tree Data'!G72,"")</f>
        <v>98.8696651307021</v>
      </c>
      <c s="72">
        <f>IF('[1]Leakage Tree Data'!H72&lt;&gt;"",'[1]Leakage Tree Data'!H72,"")</f>
        <v>61518209.9918823</v>
      </c>
      <c s="72" t="str">
        <f>IF('[1]Leakage Tree Data'!I72&lt;&gt;"",'[1]Leakage Tree Data'!I72,"")</f>
        <v>GroceryX</v>
      </c>
      <c s="72">
        <f>IF('[1]Leakage Tree Data'!J72&lt;&gt;"",'[1]Leakage Tree Data'!J72,"")</f>
        <v>99.7959341211003</v>
      </c>
      <c s="72">
        <f>IF('[1]Leakage Tree Data'!K72&lt;&gt;"",'[1]Leakage Tree Data'!K72,"")</f>
        <v>125537.67590332</v>
      </c>
      <c s="72">
        <f>IF('[1]Leakage Tree Data'!L72&lt;&gt;"",'[1]Leakage Tree Data'!L72,"")</f>
      </c>
      <c s="72">
        <f>IF('[1]Leakage Tree Data'!M72&lt;&gt;"",'[1]Leakage Tree Data'!M72,"")</f>
        <v>1395901.42642212</v>
      </c>
      <c s="72">
        <f>IF('[1]Leakage Tree Data'!N72&lt;&gt;"",'[1]Leakage Tree Data'!N72,"")</f>
      </c>
      <c s="72">
        <f>IF('[1]Leakage Tree Data'!O72&lt;&gt;"",'[1]Leakage Tree Data'!O72,"")</f>
        <v>17.9204571732659</v>
      </c>
      <c s="72">
        <f>IF('[1]Leakage Tree Data'!P72&lt;&gt;"",'[1]Leakage Tree Data'!P72,"")</f>
        <v>147086.607635371</v>
      </c>
      <c s="72">
        <f>IF('[1]Leakage Tree Data'!Q72&lt;&gt;"",'[1]Leakage Tree Data'!Q72,"")</f>
      </c>
      <c s="72">
        <f>IF('[1]Leakage Tree Data'!R72&lt;&gt;"",'[1]Leakage Tree Data'!R72,"")</f>
        <v>1017625.85098267</v>
      </c>
      <c s="72">
        <f>IF('[1]Leakage Tree Data'!S72&lt;&gt;"",'[1]Leakage Tree Data'!S72,"")</f>
        <v>41235.4440307617</v>
      </c>
      <c s="72">
        <f>IF('[1]Leakage Tree Data'!T72&lt;&gt;"",'[1]Leakage Tree Data'!T72,"")</f>
        <v>0.0247456022519577</v>
      </c>
      <c s="72">
        <f>IF('[1]Leakage Tree Data'!U72&lt;&gt;"",'[1]Leakage Tree Data'!U72,"")</f>
        <v>976390.406951904</v>
      </c>
      <c s="72">
        <f>IF('[1]Leakage Tree Data'!V72&lt;&gt;"",'[1]Leakage Tree Data'!V72,"")</f>
        <v>-0.0247456022519543</v>
      </c>
      <c s="72">
        <f>IF('[1]Leakage Tree Data'!W72&lt;&gt;"",'[1]Leakage Tree Data'!W72,"")</f>
        <v>-1855949.2237854</v>
      </c>
      <c s="72">
        <f>IF('[1]Leakage Tree Data'!X72&lt;&gt;"",'[1]Leakage Tree Data'!X72,"")</f>
      </c>
      <c s="72">
        <f>IF('[1]Leakage Tree Data'!Y72&lt;&gt;"",'[1]Leakage Tree Data'!Y72,"")</f>
        <v>-0.0207428457485861</v>
      </c>
      <c s="72">
        <f>IF('[1]Leakage Tree Data'!Z72&lt;&gt;"",'[1]Leakage Tree Data'!Z72,"")</f>
        <v>9358.24499511719</v>
      </c>
      <c s="72">
        <f>IF('[1]Leakage Tree Data'!AA72&lt;&gt;"",'[1]Leakage Tree Data'!AA72,"")</f>
      </c>
      <c s="72">
        <f>IF('[1]Leakage Tree Data'!AB72&lt;&gt;"",'[1]Leakage Tree Data'!AB72,"")</f>
        <v>-16527.7809753418</v>
      </c>
      <c s="72">
        <f>IF('[1]Leakage Tree Data'!AC72&lt;&gt;"",'[1]Leakage Tree Data'!AC72,"")</f>
      </c>
      <c s="72">
        <f>IF('[1]Leakage Tree Data'!AD72&lt;&gt;"",'[1]Leakage Tree Data'!AD72,"")</f>
        <v>1.17430084585494</v>
      </c>
      <c s="72">
        <f>IF('[1]Leakage Tree Data'!AE72&lt;&gt;"",'[1]Leakage Tree Data'!AE72,"")</f>
      </c>
      <c s="73">
        <f t="shared" si="11"/>
      </c>
      <c s="73">
        <f t="shared" si="12"/>
      </c>
      <c s="73">
        <f t="shared" si="13"/>
      </c>
      <c s="73">
        <f t="shared" si="14"/>
      </c>
      <c s="74">
        <f t="shared" si="15"/>
      </c>
      <c s="74">
        <f t="shared" si="16"/>
      </c>
      <c s="69" t="str">
        <f t="shared" si="0"/>
        <v>Total US - Price Rite</v>
      </c>
      <c s="69" t="str">
        <f t="shared" si="1"/>
        <v>Total US - GroceryX</v>
      </c>
      <c s="77"/>
    </row>
    <row r="174" spans="1:141" ht="15">
      <c r="A17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174,$AL$8:$AL$15,1,FALSE))=TRUE,IF(AND(CV174=CW174,CV174&lt;&gt;"",DI$111&lt;&gt;"",DK174&lt;&gt;""),IF(CW$101="Y",DK174-IF(ISERROR(VLOOKUP(CV174,$CA$113:$DK$300,37,FALSE))=TRUE,0,IF(VLOOKUP(CV174,$CA$113:$DK$300,37,FALSE)="",0,VLOOKUP(CV174,$CA$113:$DK$300,37,FALSE))),DK174-IF(AND(CW$102="Y",CV174=$CW$111),DI$111,0)),""),"")</f>
      </c>
      <c s="76">
        <f>IF(ISERROR(VLOOKUP(CV174,$AL$8:$AL$15,1,FALSE))=TRUE,IF(CB174&lt;&gt;"",IF(CB174&gt;0,IF(Z$4&lt;&gt;"",MIN(4,RANK(CB174,$CB$111:$CB$300)),RANK(CB174,$CB$111:$CB$300)),""),""),"")</f>
      </c>
      <c s="75">
        <f>IF(ISERROR(VLOOKUP(CV174,$AL$8:$AL$15,1,FALSE))=TRUE,IF(AND(ISERROR(FIND("NeighMkt",$CX$102))=FALSE,LEFT($CW$111,10)="ALL OUTLET",$CA174&lt;&gt;"",DK174&lt;&gt;""),"",IF(AND($CV174&lt;&gt;$CW174,$CW174=CD$110),$DK174,"")),"")</f>
        <v>15398053.1525726</v>
      </c>
      <c s="76">
        <f>IF(ISERROR(VLOOKUP(CV174,$AL$8:$AL$15,1,FALSE))=TRUE,IF(CD174&lt;&gt;"",IF(CD174&gt;0,RANK(CD174,$CD$111:$CD$300),""),""),"")</f>
        <v>2</v>
      </c>
      <c s="75">
        <f>IF(ISERROR(VLOOKUP(CV174,$AL$8:$AL$15,1,FALSE))=TRUE,IF(AND(ISERROR(FIND("NeighMkt",$CX$102))=FALSE,LEFT($CW$111,10)="ALL OUTLET",$CA174&lt;&gt;"",DK174&lt;&gt;""),"",IF(AND($CV174&lt;&gt;$CW174,$CW174=CF$110),$DK174,"")),"")</f>
      </c>
      <c s="76">
        <f>IF(ISERROR(VLOOKUP(CV174,$AL$8:$AL$15,1,FALSE))=TRUE,IF(CF174&lt;&gt;"",IF(CF174&gt;0,RANK(CF174,$CF$111:$CF$300),""),""),"")</f>
      </c>
      <c s="75">
        <f>IF(ISERROR(VLOOKUP(CV174,$AL$8:$AL$15,1,FALSE))=TRUE,IF(AND(ISERROR(FIND("NeighMkt",$CX$102))=FALSE,LEFT($CW$111,10)="ALL OUTLET",$CA174&lt;&gt;"",DK174&lt;&gt;""),"",IF(AND($CV174&lt;&gt;$CW174,$CW174=CH$110),$DK174,"")),"")</f>
      </c>
      <c s="76">
        <f>IF(ISERROR(VLOOKUP(CV174,$AL$8:$AL$15,1,FALSE))=TRUE,IF(CH174&lt;&gt;"",IF(CH174&gt;0,RANK(CH174,$CH$111:$CH$300),""),""),"")</f>
      </c>
      <c s="75">
        <f>IF(ISERROR(VLOOKUP(CV174,$AL$8:$AL$15,1,FALSE))=TRUE,IF(AND(ISERROR(FIND("NeighMkt",$CX$102))=FALSE,LEFT($CW$111,10)="ALL OUTLET",$CA174&lt;&gt;"",DK174&lt;&gt;""),"",IF($Z$4="",IF(AND($CV174&lt;&gt;$CW174,$CW174=CJ$110),$DK174,""),IF(AND($CV174&lt;&gt;$CW174,$CW174&lt;&gt;CD$110,$CW174&lt;&gt;CF$110,$CW174&lt;&gt;CH$110,$CW174&lt;&gt;$CV$111),$DK174,""))),"")</f>
      </c>
      <c s="76">
        <f>IF(ISERROR(VLOOKUP(CV174,$AL$8:$AL$15,1,FALSE))=TRUE,IF(CJ174&lt;&gt;"",IF(CJ174&gt;0,RANK(CJ174,$CJ$111:$CJ$300),""),""),"")</f>
      </c>
      <c s="75">
        <f>IF(ISERROR(VLOOKUP(CV174,$AL$8:$AL$15,1,FALSE))=TRUE,IF(AND(CV174=CW174,CV174&lt;&gt;"",DJ174&lt;&gt;""),IF(AND(ISERROR(FIND("NeighMkt",$CX$102))=FALSE,LEFT($CW$111,10)="ALL OUTLET"),DJ174-IF(ISERROR(VLOOKUP(CV174,$CA$113:$DK$300,36,FALSE))=TRUE,0,IF(VLOOKUP(CV174,$CA$113:$DK$300,36,FALSE)="",0,VLOOKUP(CV174,$CA$113:$DK$300,36,FALSE))),DJ174),""),"")</f>
      </c>
      <c s="76">
        <f>IF(ISERROR(VLOOKUP(CV174,$AL$8:$AL$15,1,FALSE))=TRUE,IF(CL174&lt;&gt;"",IF(CL174&gt;0,IF($Z$4&lt;&gt;"",MIN(4,RANK(CL174,$CL$111:$CL$300)),RANK(CL174,$CL$111:$CL$300)),""),""),"")</f>
      </c>
      <c s="75">
        <f>IF(ISERROR(VLOOKUP(CV174,$AL$8:$AL$15,1,FALSE))=TRUE,IF(AND(ISERROR(FIND("NeighMkt",$CX$102))=FALSE,LEFT($CW$111,10)="ALL OUTLET",$CA174&lt;&gt;"",DJ174&lt;&gt;""),"",IF(AND($CV174&lt;&gt;$CW174,$CW174=CN$110),$DJ174,"")),"")</f>
        <v>36898890.1630096</v>
      </c>
      <c s="76">
        <f>IF(ISERROR(VLOOKUP(CV174,$AL$8:$AL$15,1,FALSE))=TRUE,IF(CN174&lt;&gt;"",IF(CN174&gt;0,RANK(CN174,$CN$111:$CN$300),""),""),"")</f>
        <v>4</v>
      </c>
      <c s="75">
        <f>IF(ISERROR(VLOOKUP(CV174,$AL$8:$AL$15,1,FALSE))=TRUE,IF(AND(ISERROR(FIND("NeighMkt",$CX$102))=FALSE,LEFT($CW$111,10)="ALL OUTLET",$CA174&lt;&gt;"",DJ174&lt;&gt;""),"",IF(AND($CV174&lt;&gt;$CW174,$CW174=CP$110),$DJ174,"")),"")</f>
      </c>
      <c s="76">
        <f>IF(ISERROR(VLOOKUP(CV174,$AL$8:$AL$15,1,FALSE))=TRUE,IF(CP174&lt;&gt;"",IF(CP174&gt;0,RANK(CP174,$CP$111:$CP$300),""),""),"")</f>
      </c>
      <c s="75">
        <f>IF(ISERROR(VLOOKUP(CV174,$AL$8:$AL$15,1,FALSE))=TRUE,IF(AND(ISERROR(FIND("NeighMkt",$CX$102))=FALSE,LEFT($CW$111,10)="ALL OUTLET",$CA174&lt;&gt;"",DJ174&lt;&gt;""),"",IF(AND($CV174&lt;&gt;$CW174,$CW174=CR$110),$DJ174,"")),"")</f>
      </c>
      <c s="76">
        <f>IF(ISERROR(VLOOKUP(CV174,$AL$8:$AL$15,1,FALSE))=TRUE,IF(CR174&lt;&gt;"",IF(CR174&gt;0,RANK(CR174,$CR$111:$CR$300),""),""),"")</f>
      </c>
      <c s="75">
        <f>IF(ISERROR(VLOOKUP(CV174,$AL$8:$AL$15,1,FALSE))=TRUE,IF(AND(ISERROR(FIND("NeighMkt",$CX$102))=FALSE,LEFT($CW$111,10)="ALL OUTLET",$CA174&lt;&gt;"",DJ174&lt;&gt;""),"",IF($Z$4="",IF(AND($CV174&lt;&gt;$CW174,$CW174=CT$110),$DJ174,""),IF(AND($CV174&lt;&gt;$CW174,$CW174&lt;&gt;CN$110,$CW174&lt;&gt;CP$110,$CW174&lt;&gt;CR$110,$CW174&lt;&gt;$CV$111),$DJ174,""))),"")</f>
      </c>
      <c s="76">
        <f>IF(ISERROR(VLOOKUP(CV174,$AL$8:$AL$15,1,FALSE))=TRUE,IF(CT174&lt;&gt;"",IF(CT174&gt;0,RANK(CT174,$CT$111:$CT$300),""),""),"")</f>
      </c>
      <c s="65" t="str">
        <f t="shared" si="2"/>
        <v>Publix</v>
      </c>
      <c s="65" t="str">
        <f t="shared" si="3"/>
        <v>GroceryX</v>
      </c>
      <c s="72" t="str">
        <f>IF('[1]Leakage Tree Data'!A73&lt;&gt;"",'[1]Leakage Tree Data'!A73,"")</f>
        <v>Total US - Publix</v>
      </c>
      <c s="72" t="str">
        <f>IF('[1]Leakage Tree Data'!B73&lt;&gt;"",'[1]Leakage Tree Data'!B73,"")</f>
        <v>Total US - GroceryX</v>
      </c>
      <c s="72">
        <f>IF('[1]Leakage Tree Data'!C73&lt;&gt;"",'[1]Leakage Tree Data'!C73,"")</f>
        <v>121171760.292236</v>
      </c>
      <c s="72">
        <f>IF('[1]Leakage Tree Data'!D73&lt;&gt;"",'[1]Leakage Tree Data'!D73,"")</f>
        <v>12929791.3328857</v>
      </c>
      <c s="72">
        <f>IF('[1]Leakage Tree Data'!E73&lt;&gt;"",'[1]Leakage Tree Data'!E73,"")</f>
        <v>10.6706309305917</v>
      </c>
      <c s="72">
        <f>IF('[1]Leakage Tree Data'!F73&lt;&gt;"",'[1]Leakage Tree Data'!F73,"")</f>
        <v>108241968.959351</v>
      </c>
      <c s="72">
        <f>IF('[1]Leakage Tree Data'!G73&lt;&gt;"",'[1]Leakage Tree Data'!G73,"")</f>
        <v>89.3293690694083</v>
      </c>
      <c s="72">
        <f>IF('[1]Leakage Tree Data'!H73&lt;&gt;"",'[1]Leakage Tree Data'!H73,"")</f>
        <v>61518209.9918823</v>
      </c>
      <c s="72" t="str">
        <f>IF('[1]Leakage Tree Data'!I73&lt;&gt;"",'[1]Leakage Tree Data'!I73,"")</f>
        <v>GroceryX</v>
      </c>
      <c s="72">
        <f>IF('[1]Leakage Tree Data'!J73&lt;&gt;"",'[1]Leakage Tree Data'!J73,"")</f>
        <v>95.0915679034686</v>
      </c>
      <c s="72">
        <f>IF('[1]Leakage Tree Data'!K73&lt;&gt;"",'[1]Leakage Tree Data'!K73,"")</f>
        <v>3019579.56445313</v>
      </c>
      <c s="72">
        <f>IF('[1]Leakage Tree Data'!L73&lt;&gt;"",'[1]Leakage Tree Data'!L73,"")</f>
        <v>15398053.1525726</v>
      </c>
      <c s="72">
        <f>IF('[1]Leakage Tree Data'!M73&lt;&gt;"",'[1]Leakage Tree Data'!M73,"")</f>
        <v>36898890.1630096</v>
      </c>
      <c s="72">
        <f>IF('[1]Leakage Tree Data'!N73&lt;&gt;"",'[1]Leakage Tree Data'!N73,"")</f>
        <v>15398053.1525726</v>
      </c>
      <c s="72">
        <f>IF('[1]Leakage Tree Data'!O73&lt;&gt;"",'[1]Leakage Tree Data'!O73,"")</f>
        <v>39.2243174892472</v>
      </c>
      <c s="72">
        <f>IF('[1]Leakage Tree Data'!P73&lt;&gt;"",'[1]Leakage Tree Data'!P73,"")</f>
        <v>3206919.90371588</v>
      </c>
      <c s="72">
        <f>IF('[1]Leakage Tree Data'!Q73&lt;&gt;"",'[1]Leakage Tree Data'!Q73,"")</f>
      </c>
      <c s="72">
        <f>IF('[1]Leakage Tree Data'!R73&lt;&gt;"",'[1]Leakage Tree Data'!R73,"")</f>
        <v>1017625.85098267</v>
      </c>
      <c s="72">
        <f>IF('[1]Leakage Tree Data'!S73&lt;&gt;"",'[1]Leakage Tree Data'!S73,"")</f>
        <v>294026.784301758</v>
      </c>
      <c s="72">
        <f>IF('[1]Leakage Tree Data'!T73&lt;&gt;"",'[1]Leakage Tree Data'!T73,"")</f>
        <v>0.15433483529422</v>
      </c>
      <c s="72">
        <f>IF('[1]Leakage Tree Data'!U73&lt;&gt;"",'[1]Leakage Tree Data'!U73,"")</f>
        <v>723599.066680908</v>
      </c>
      <c s="72">
        <f>IF('[1]Leakage Tree Data'!V73&lt;&gt;"",'[1]Leakage Tree Data'!V73,"")</f>
        <v>-0.154334835294222</v>
      </c>
      <c s="72">
        <f>IF('[1]Leakage Tree Data'!W73&lt;&gt;"",'[1]Leakage Tree Data'!W73,"")</f>
        <v>-1855949.2237854</v>
      </c>
      <c s="72">
        <f>IF('[1]Leakage Tree Data'!X73&lt;&gt;"",'[1]Leakage Tree Data'!X73,"")</f>
      </c>
      <c s="72">
        <f>IF('[1]Leakage Tree Data'!Y73&lt;&gt;"",'[1]Leakage Tree Data'!Y73,"")</f>
        <v>0.226861907030994</v>
      </c>
      <c s="72">
        <f>IF('[1]Leakage Tree Data'!Z73&lt;&gt;"",'[1]Leakage Tree Data'!Z73,"")</f>
        <v>-234869.833557129</v>
      </c>
      <c s="72">
        <f>IF('[1]Leakage Tree Data'!AA73&lt;&gt;"",'[1]Leakage Tree Data'!AA73,"")</f>
        <v>-2606138.7497406</v>
      </c>
      <c s="72">
        <f>IF('[1]Leakage Tree Data'!AB73&lt;&gt;"",'[1]Leakage Tree Data'!AB73,"")</f>
        <v>-9306202.35374069</v>
      </c>
      <c s="72">
        <f>IF('[1]Leakage Tree Data'!AC73&lt;&gt;"",'[1]Leakage Tree Data'!AC73,"")</f>
        <v>-2606138.7497406</v>
      </c>
      <c s="72">
        <f>IF('[1]Leakage Tree Data'!AD73&lt;&gt;"",'[1]Leakage Tree Data'!AD73,"")</f>
        <v>-2.50588499336138</v>
      </c>
      <c s="72">
        <f>IF('[1]Leakage Tree Data'!AE73&lt;&gt;"",'[1]Leakage Tree Data'!AE73,"")</f>
      </c>
      <c s="73">
        <f t="shared" si="11"/>
      </c>
      <c s="73">
        <f t="shared" si="12"/>
      </c>
      <c s="73">
        <f t="shared" si="13"/>
      </c>
      <c s="73">
        <f t="shared" si="14"/>
      </c>
      <c s="74">
        <f t="shared" si="15"/>
      </c>
      <c s="74">
        <f t="shared" si="16"/>
      </c>
      <c s="69" t="str">
        <f t="shared" si="0"/>
        <v>Total US - Publix</v>
      </c>
      <c s="69" t="str">
        <f t="shared" si="1"/>
        <v>Total US - GroceryX</v>
      </c>
      <c s="77"/>
    </row>
    <row r="175" spans="1:141" ht="15">
      <c r="A17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175,$AL$8:$AL$15,1,FALSE))=TRUE,IF(AND(CV175=CW175,CV175&lt;&gt;"",DI$111&lt;&gt;"",DK175&lt;&gt;""),IF(CW$101="Y",DK175-IF(ISERROR(VLOOKUP(CV175,$CA$113:$DK$300,37,FALSE))=TRUE,0,IF(VLOOKUP(CV175,$CA$113:$DK$300,37,FALSE)="",0,VLOOKUP(CV175,$CA$113:$DK$300,37,FALSE))),DK175-IF(AND(CW$102="Y",CV175=$CW$111),DI$111,0)),""),"")</f>
      </c>
      <c s="76">
        <f>IF(ISERROR(VLOOKUP(CV175,$AL$8:$AL$15,1,FALSE))=TRUE,IF(CB175&lt;&gt;"",IF(CB175&gt;0,IF(Z$4&lt;&gt;"",MIN(4,RANK(CB175,$CB$111:$CB$300)),RANK(CB175,$CB$111:$CB$300)),""),""),"")</f>
      </c>
      <c s="75">
        <f>IF(ISERROR(VLOOKUP(CV175,$AL$8:$AL$15,1,FALSE))=TRUE,IF(AND(ISERROR(FIND("NeighMkt",$CX$102))=FALSE,LEFT($CW$111,10)="ALL OUTLET",$CA175&lt;&gt;"",DK175&lt;&gt;""),"",IF(AND($CV175&lt;&gt;$CW175,$CW175=CD$110),$DK175,"")),"")</f>
      </c>
      <c s="76">
        <f>IF(ISERROR(VLOOKUP(CV175,$AL$8:$AL$15,1,FALSE))=TRUE,IF(CD175&lt;&gt;"",IF(CD175&gt;0,RANK(CD175,$CD$111:$CD$300),""),""),"")</f>
      </c>
      <c s="75">
        <f>IF(ISERROR(VLOOKUP(CV175,$AL$8:$AL$15,1,FALSE))=TRUE,IF(AND(ISERROR(FIND("NeighMkt",$CX$102))=FALSE,LEFT($CW$111,10)="ALL OUTLET",$CA175&lt;&gt;"",DK175&lt;&gt;""),"",IF(AND($CV175&lt;&gt;$CW175,$CW175=CF$110),$DK175,"")),"")</f>
      </c>
      <c s="76">
        <f>IF(ISERROR(VLOOKUP(CV175,$AL$8:$AL$15,1,FALSE))=TRUE,IF(CF175&lt;&gt;"",IF(CF175&gt;0,RANK(CF175,$CF$111:$CF$300),""),""),"")</f>
      </c>
      <c s="75">
        <f>IF(ISERROR(VLOOKUP(CV175,$AL$8:$AL$15,1,FALSE))=TRUE,IF(AND(ISERROR(FIND("NeighMkt",$CX$102))=FALSE,LEFT($CW$111,10)="ALL OUTLET",$CA175&lt;&gt;"",DK175&lt;&gt;""),"",IF(AND($CV175&lt;&gt;$CW175,$CW175=CH$110),$DK175,"")),"")</f>
      </c>
      <c s="76">
        <f>IF(ISERROR(VLOOKUP(CV175,$AL$8:$AL$15,1,FALSE))=TRUE,IF(CH175&lt;&gt;"",IF(CH175&gt;0,RANK(CH175,$CH$111:$CH$300),""),""),"")</f>
      </c>
      <c s="75">
        <f>IF(ISERROR(VLOOKUP(CV175,$AL$8:$AL$15,1,FALSE))=TRUE,IF(AND(ISERROR(FIND("NeighMkt",$CX$102))=FALSE,LEFT($CW$111,10)="ALL OUTLET",$CA175&lt;&gt;"",DK175&lt;&gt;""),"",IF($Z$4="",IF(AND($CV175&lt;&gt;$CW175,$CW175=CJ$110),$DK175,""),IF(AND($CV175&lt;&gt;$CW175,$CW175&lt;&gt;CD$110,$CW175&lt;&gt;CF$110,$CW175&lt;&gt;CH$110,$CW175&lt;&gt;$CV$111),$DK175,""))),"")</f>
      </c>
      <c s="76">
        <f>IF(ISERROR(VLOOKUP(CV175,$AL$8:$AL$15,1,FALSE))=TRUE,IF(CJ175&lt;&gt;"",IF(CJ175&gt;0,RANK(CJ175,$CJ$111:$CJ$300),""),""),"")</f>
      </c>
      <c s="75">
        <f>IF(ISERROR(VLOOKUP(CV175,$AL$8:$AL$15,1,FALSE))=TRUE,IF(AND(CV175=CW175,CV175&lt;&gt;"",DJ175&lt;&gt;""),IF(AND(ISERROR(FIND("NeighMkt",$CX$102))=FALSE,LEFT($CW$111,10)="ALL OUTLET"),DJ175-IF(ISERROR(VLOOKUP(CV175,$CA$113:$DK$300,36,FALSE))=TRUE,0,IF(VLOOKUP(CV175,$CA$113:$DK$300,36,FALSE)="",0,VLOOKUP(CV175,$CA$113:$DK$300,36,FALSE))),DJ175),""),"")</f>
      </c>
      <c s="76">
        <f>IF(ISERROR(VLOOKUP(CV175,$AL$8:$AL$15,1,FALSE))=TRUE,IF(CL175&lt;&gt;"",IF(CL175&gt;0,IF($Z$4&lt;&gt;"",MIN(4,RANK(CL175,$CL$111:$CL$300)),RANK(CL175,$CL$111:$CL$300)),""),""),"")</f>
      </c>
      <c s="75">
        <f>IF(ISERROR(VLOOKUP(CV175,$AL$8:$AL$15,1,FALSE))=TRUE,IF(AND(ISERROR(FIND("NeighMkt",$CX$102))=FALSE,LEFT($CW$111,10)="ALL OUTLET",$CA175&lt;&gt;"",DJ175&lt;&gt;""),"",IF(AND($CV175&lt;&gt;$CW175,$CW175=CN$110),$DJ175,"")),"")</f>
      </c>
      <c s="76">
        <f>IF(ISERROR(VLOOKUP(CV175,$AL$8:$AL$15,1,FALSE))=TRUE,IF(CN175&lt;&gt;"",IF(CN175&gt;0,RANK(CN175,$CN$111:$CN$300),""),""),"")</f>
      </c>
      <c s="75">
        <f>IF(ISERROR(VLOOKUP(CV175,$AL$8:$AL$15,1,FALSE))=TRUE,IF(AND(ISERROR(FIND("NeighMkt",$CX$102))=FALSE,LEFT($CW$111,10)="ALL OUTLET",$CA175&lt;&gt;"",DJ175&lt;&gt;""),"",IF(AND($CV175&lt;&gt;$CW175,$CW175=CP$110),$DJ175,"")),"")</f>
      </c>
      <c s="76">
        <f>IF(ISERROR(VLOOKUP(CV175,$AL$8:$AL$15,1,FALSE))=TRUE,IF(CP175&lt;&gt;"",IF(CP175&gt;0,RANK(CP175,$CP$111:$CP$300),""),""),"")</f>
      </c>
      <c s="75">
        <f>IF(ISERROR(VLOOKUP(CV175,$AL$8:$AL$15,1,FALSE))=TRUE,IF(AND(ISERROR(FIND("NeighMkt",$CX$102))=FALSE,LEFT($CW$111,10)="ALL OUTLET",$CA175&lt;&gt;"",DJ175&lt;&gt;""),"",IF(AND($CV175&lt;&gt;$CW175,$CW175=CR$110),$DJ175,"")),"")</f>
      </c>
      <c s="76">
        <f>IF(ISERROR(VLOOKUP(CV175,$AL$8:$AL$15,1,FALSE))=TRUE,IF(CR175&lt;&gt;"",IF(CR175&gt;0,RANK(CR175,$CR$111:$CR$300),""),""),"")</f>
      </c>
      <c s="75">
        <f>IF(ISERROR(VLOOKUP(CV175,$AL$8:$AL$15,1,FALSE))=TRUE,IF(AND(ISERROR(FIND("NeighMkt",$CX$102))=FALSE,LEFT($CW$111,10)="ALL OUTLET",$CA175&lt;&gt;"",DJ175&lt;&gt;""),"",IF($Z$4="",IF(AND($CV175&lt;&gt;$CW175,$CW175=CT$110),$DJ175,""),IF(AND($CV175&lt;&gt;$CW175,$CW175&lt;&gt;CN$110,$CW175&lt;&gt;CP$110,$CW175&lt;&gt;CR$110,$CW175&lt;&gt;$CV$111),$DJ175,""))),"")</f>
      </c>
      <c s="76">
        <f>IF(ISERROR(VLOOKUP(CV175,$AL$8:$AL$15,1,FALSE))=TRUE,IF(CT175&lt;&gt;"",IF(CT175&gt;0,RANK(CT175,$CT$111:$CT$300),""),""),"")</f>
      </c>
      <c s="65" t="str">
        <f t="shared" si="2"/>
        <v>Rainbow</v>
      </c>
      <c s="65" t="str">
        <f t="shared" si="3"/>
        <v>GroceryX</v>
      </c>
      <c s="72" t="str">
        <f>IF('[1]Leakage Tree Data'!A74&lt;&gt;"",'[1]Leakage Tree Data'!A74,"")</f>
        <v>Total US - Rainbow</v>
      </c>
      <c s="72" t="str">
        <f>IF('[1]Leakage Tree Data'!B74&lt;&gt;"",'[1]Leakage Tree Data'!B74,"")</f>
        <v>Total US - GroceryX</v>
      </c>
      <c s="72">
        <f>IF('[1]Leakage Tree Data'!C74&lt;&gt;"",'[1]Leakage Tree Data'!C74,"")</f>
        <v>121171760.292236</v>
      </c>
      <c s="72">
        <f>IF('[1]Leakage Tree Data'!D74&lt;&gt;"",'[1]Leakage Tree Data'!D74,"")</f>
      </c>
      <c s="72">
        <f>IF('[1]Leakage Tree Data'!E74&lt;&gt;"",'[1]Leakage Tree Data'!E74,"")</f>
      </c>
      <c s="72">
        <f>IF('[1]Leakage Tree Data'!F74&lt;&gt;"",'[1]Leakage Tree Data'!F74,"")</f>
      </c>
      <c s="72">
        <f>IF('[1]Leakage Tree Data'!G74&lt;&gt;"",'[1]Leakage Tree Data'!G74,"")</f>
      </c>
      <c s="72">
        <f>IF('[1]Leakage Tree Data'!H74&lt;&gt;"",'[1]Leakage Tree Data'!H74,"")</f>
        <v>61518209.9918823</v>
      </c>
      <c s="72" t="str">
        <f>IF('[1]Leakage Tree Data'!I74&lt;&gt;"",'[1]Leakage Tree Data'!I74,"")</f>
        <v>GroceryX</v>
      </c>
      <c s="72">
        <f>IF('[1]Leakage Tree Data'!J74&lt;&gt;"",'[1]Leakage Tree Data'!J74,"")</f>
      </c>
      <c s="72">
        <f>IF('[1]Leakage Tree Data'!K74&lt;&gt;"",'[1]Leakage Tree Data'!K74,"")</f>
      </c>
      <c s="72">
        <f>IF('[1]Leakage Tree Data'!L74&lt;&gt;"",'[1]Leakage Tree Data'!L74,"")</f>
      </c>
      <c s="72">
        <f>IF('[1]Leakage Tree Data'!M74&lt;&gt;"",'[1]Leakage Tree Data'!M74,"")</f>
      </c>
      <c s="72">
        <f>IF('[1]Leakage Tree Data'!N74&lt;&gt;"",'[1]Leakage Tree Data'!N74,"")</f>
      </c>
      <c s="72">
        <f>IF('[1]Leakage Tree Data'!O74&lt;&gt;"",'[1]Leakage Tree Data'!O74,"")</f>
      </c>
      <c s="72">
        <f>IF('[1]Leakage Tree Data'!P74&lt;&gt;"",'[1]Leakage Tree Data'!P74,"")</f>
      </c>
      <c s="72">
        <f>IF('[1]Leakage Tree Data'!Q74&lt;&gt;"",'[1]Leakage Tree Data'!Q74,"")</f>
      </c>
      <c s="72">
        <f>IF('[1]Leakage Tree Data'!R74&lt;&gt;"",'[1]Leakage Tree Data'!R74,"")</f>
        <v>1017625.85098267</v>
      </c>
      <c s="72">
        <f>IF('[1]Leakage Tree Data'!S74&lt;&gt;"",'[1]Leakage Tree Data'!S74,"")</f>
      </c>
      <c s="72">
        <f>IF('[1]Leakage Tree Data'!T74&lt;&gt;"",'[1]Leakage Tree Data'!T74,"")</f>
      </c>
      <c s="72">
        <f>IF('[1]Leakage Tree Data'!U74&lt;&gt;"",'[1]Leakage Tree Data'!U74,"")</f>
      </c>
      <c s="72">
        <f>IF('[1]Leakage Tree Data'!V74&lt;&gt;"",'[1]Leakage Tree Data'!V74,"")</f>
      </c>
      <c s="72">
        <f>IF('[1]Leakage Tree Data'!W74&lt;&gt;"",'[1]Leakage Tree Data'!W74,"")</f>
        <v>-1855949.2237854</v>
      </c>
      <c s="72">
        <f>IF('[1]Leakage Tree Data'!X74&lt;&gt;"",'[1]Leakage Tree Data'!X74,"")</f>
      </c>
      <c s="72">
        <f>IF('[1]Leakage Tree Data'!Y74&lt;&gt;"",'[1]Leakage Tree Data'!Y74,"")</f>
      </c>
      <c s="72">
        <f>IF('[1]Leakage Tree Data'!Z74&lt;&gt;"",'[1]Leakage Tree Data'!Z74,"")</f>
      </c>
      <c s="72">
        <f>IF('[1]Leakage Tree Data'!AA74&lt;&gt;"",'[1]Leakage Tree Data'!AA74,"")</f>
      </c>
      <c s="72">
        <f>IF('[1]Leakage Tree Data'!AB74&lt;&gt;"",'[1]Leakage Tree Data'!AB74,"")</f>
      </c>
      <c s="72">
        <f>IF('[1]Leakage Tree Data'!AC74&lt;&gt;"",'[1]Leakage Tree Data'!AC74,"")</f>
      </c>
      <c s="72">
        <f>IF('[1]Leakage Tree Data'!AD74&lt;&gt;"",'[1]Leakage Tree Data'!AD74,"")</f>
      </c>
      <c s="72">
        <f>IF('[1]Leakage Tree Data'!AE74&lt;&gt;"",'[1]Leakage Tree Data'!AE74,"")</f>
      </c>
      <c s="73">
        <f t="shared" si="11"/>
      </c>
      <c s="73">
        <f t="shared" si="12"/>
      </c>
      <c s="73">
        <f t="shared" si="13"/>
      </c>
      <c s="73">
        <f t="shared" si="14"/>
      </c>
      <c s="74">
        <f t="shared" si="15"/>
      </c>
      <c s="74">
        <f t="shared" si="16"/>
      </c>
      <c s="69" t="str">
        <f t="shared" si="0"/>
        <v>Total US - Rainbow</v>
      </c>
      <c s="69" t="str">
        <f t="shared" si="1"/>
        <v>Total US - GroceryX</v>
      </c>
      <c s="77"/>
    </row>
    <row r="176" spans="1:141" ht="15">
      <c r="A17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176,$AL$8:$AL$15,1,FALSE))=TRUE,IF(AND(CV176=CW176,CV176&lt;&gt;"",DI$111&lt;&gt;"",DK176&lt;&gt;""),IF(CW$101="Y",DK176-IF(ISERROR(VLOOKUP(CV176,$CA$113:$DK$300,37,FALSE))=TRUE,0,IF(VLOOKUP(CV176,$CA$113:$DK$300,37,FALSE)="",0,VLOOKUP(CV176,$CA$113:$DK$300,37,FALSE))),DK176-IF(AND(CW$102="Y",CV176=$CW$111),DI$111,0)),""),"")</f>
      </c>
      <c s="76">
        <f>IF(ISERROR(VLOOKUP(CV176,$AL$8:$AL$15,1,FALSE))=TRUE,IF(CB176&lt;&gt;"",IF(CB176&gt;0,IF(Z$4&lt;&gt;"",MIN(4,RANK(CB176,$CB$111:$CB$300)),RANK(CB176,$CB$111:$CB$300)),""),""),"")</f>
      </c>
      <c s="75">
        <f>IF(ISERROR(VLOOKUP(CV176,$AL$8:$AL$15,1,FALSE))=TRUE,IF(AND(ISERROR(FIND("NeighMkt",$CX$102))=FALSE,LEFT($CW$111,10)="ALL OUTLET",$CA176&lt;&gt;"",DK176&lt;&gt;""),"",IF(AND($CV176&lt;&gt;$CW176,$CW176=CD$110),$DK176,"")),"")</f>
      </c>
      <c s="76">
        <f>IF(ISERROR(VLOOKUP(CV176,$AL$8:$AL$15,1,FALSE))=TRUE,IF(CD176&lt;&gt;"",IF(CD176&gt;0,RANK(CD176,$CD$111:$CD$300),""),""),"")</f>
      </c>
      <c s="75">
        <f>IF(ISERROR(VLOOKUP(CV176,$AL$8:$AL$15,1,FALSE))=TRUE,IF(AND(ISERROR(FIND("NeighMkt",$CX$102))=FALSE,LEFT($CW$111,10)="ALL OUTLET",$CA176&lt;&gt;"",DK176&lt;&gt;""),"",IF(AND($CV176&lt;&gt;$CW176,$CW176=CF$110),$DK176,"")),"")</f>
      </c>
      <c s="76">
        <f>IF(ISERROR(VLOOKUP(CV176,$AL$8:$AL$15,1,FALSE))=TRUE,IF(CF176&lt;&gt;"",IF(CF176&gt;0,RANK(CF176,$CF$111:$CF$300),""),""),"")</f>
      </c>
      <c s="75">
        <f>IF(ISERROR(VLOOKUP(CV176,$AL$8:$AL$15,1,FALSE))=TRUE,IF(AND(ISERROR(FIND("NeighMkt",$CX$102))=FALSE,LEFT($CW$111,10)="ALL OUTLET",$CA176&lt;&gt;"",DK176&lt;&gt;""),"",IF(AND($CV176&lt;&gt;$CW176,$CW176=CH$110),$DK176,"")),"")</f>
      </c>
      <c s="76">
        <f>IF(ISERROR(VLOOKUP(CV176,$AL$8:$AL$15,1,FALSE))=TRUE,IF(CH176&lt;&gt;"",IF(CH176&gt;0,RANK(CH176,$CH$111:$CH$300),""),""),"")</f>
      </c>
      <c s="75">
        <f>IF(ISERROR(VLOOKUP(CV176,$AL$8:$AL$15,1,FALSE))=TRUE,IF(AND(ISERROR(FIND("NeighMkt",$CX$102))=FALSE,LEFT($CW$111,10)="ALL OUTLET",$CA176&lt;&gt;"",DK176&lt;&gt;""),"",IF($Z$4="",IF(AND($CV176&lt;&gt;$CW176,$CW176=CJ$110),$DK176,""),IF(AND($CV176&lt;&gt;$CW176,$CW176&lt;&gt;CD$110,$CW176&lt;&gt;CF$110,$CW176&lt;&gt;CH$110,$CW176&lt;&gt;$CV$111),$DK176,""))),"")</f>
      </c>
      <c s="76">
        <f>IF(ISERROR(VLOOKUP(CV176,$AL$8:$AL$15,1,FALSE))=TRUE,IF(CJ176&lt;&gt;"",IF(CJ176&gt;0,RANK(CJ176,$CJ$111:$CJ$300),""),""),"")</f>
      </c>
      <c s="75">
        <f>IF(ISERROR(VLOOKUP(CV176,$AL$8:$AL$15,1,FALSE))=TRUE,IF(AND(CV176=CW176,CV176&lt;&gt;"",DJ176&lt;&gt;""),IF(AND(ISERROR(FIND("NeighMkt",$CX$102))=FALSE,LEFT($CW$111,10)="ALL OUTLET"),DJ176-IF(ISERROR(VLOOKUP(CV176,$CA$113:$DK$300,36,FALSE))=TRUE,0,IF(VLOOKUP(CV176,$CA$113:$DK$300,36,FALSE)="",0,VLOOKUP(CV176,$CA$113:$DK$300,36,FALSE))),DJ176),""),"")</f>
      </c>
      <c s="76">
        <f>IF(ISERROR(VLOOKUP(CV176,$AL$8:$AL$15,1,FALSE))=TRUE,IF(CL176&lt;&gt;"",IF(CL176&gt;0,IF($Z$4&lt;&gt;"",MIN(4,RANK(CL176,$CL$111:$CL$300)),RANK(CL176,$CL$111:$CL$300)),""),""),"")</f>
      </c>
      <c s="75">
        <f>IF(ISERROR(VLOOKUP(CV176,$AL$8:$AL$15,1,FALSE))=TRUE,IF(AND(ISERROR(FIND("NeighMkt",$CX$102))=FALSE,LEFT($CW$111,10)="ALL OUTLET",$CA176&lt;&gt;"",DJ176&lt;&gt;""),"",IF(AND($CV176&lt;&gt;$CW176,$CW176=CN$110),$DJ176,"")),"")</f>
        <v>1266341.81838989</v>
      </c>
      <c s="76">
        <f>IF(ISERROR(VLOOKUP(CV176,$AL$8:$AL$15,1,FALSE))=TRUE,IF(CN176&lt;&gt;"",IF(CN176&gt;0,RANK(CN176,$CN$111:$CN$300),""),""),"")</f>
        <v>50</v>
      </c>
      <c s="75">
        <f>IF(ISERROR(VLOOKUP(CV176,$AL$8:$AL$15,1,FALSE))=TRUE,IF(AND(ISERROR(FIND("NeighMkt",$CX$102))=FALSE,LEFT($CW$111,10)="ALL OUTLET",$CA176&lt;&gt;"",DJ176&lt;&gt;""),"",IF(AND($CV176&lt;&gt;$CW176,$CW176=CP$110),$DJ176,"")),"")</f>
      </c>
      <c s="76">
        <f>IF(ISERROR(VLOOKUP(CV176,$AL$8:$AL$15,1,FALSE))=TRUE,IF(CP176&lt;&gt;"",IF(CP176&gt;0,RANK(CP176,$CP$111:$CP$300),""),""),"")</f>
      </c>
      <c s="75">
        <f>IF(ISERROR(VLOOKUP(CV176,$AL$8:$AL$15,1,FALSE))=TRUE,IF(AND(ISERROR(FIND("NeighMkt",$CX$102))=FALSE,LEFT($CW$111,10)="ALL OUTLET",$CA176&lt;&gt;"",DJ176&lt;&gt;""),"",IF(AND($CV176&lt;&gt;$CW176,$CW176=CR$110),$DJ176,"")),"")</f>
      </c>
      <c s="76">
        <f>IF(ISERROR(VLOOKUP(CV176,$AL$8:$AL$15,1,FALSE))=TRUE,IF(CR176&lt;&gt;"",IF(CR176&gt;0,RANK(CR176,$CR$111:$CR$300),""),""),"")</f>
      </c>
      <c s="75">
        <f>IF(ISERROR(VLOOKUP(CV176,$AL$8:$AL$15,1,FALSE))=TRUE,IF(AND(ISERROR(FIND("NeighMkt",$CX$102))=FALSE,LEFT($CW$111,10)="ALL OUTLET",$CA176&lt;&gt;"",DJ176&lt;&gt;""),"",IF($Z$4="",IF(AND($CV176&lt;&gt;$CW176,$CW176=CT$110),$DJ176,""),IF(AND($CV176&lt;&gt;$CW176,$CW176&lt;&gt;CN$110,$CW176&lt;&gt;CP$110,$CW176&lt;&gt;CR$110,$CW176&lt;&gt;$CV$111),$DJ176,""))),"")</f>
      </c>
      <c s="76">
        <f>IF(ISERROR(VLOOKUP(CV176,$AL$8:$AL$15,1,FALSE))=TRUE,IF(CT176&lt;&gt;"",IF(CT176&gt;0,RANK(CT176,$CT$111:$CT$300),""),""),"")</f>
      </c>
      <c s="65" t="str">
        <f t="shared" si="2"/>
        <v>Raleys</v>
      </c>
      <c s="65" t="str">
        <f t="shared" si="3"/>
        <v>GroceryX</v>
      </c>
      <c s="72" t="str">
        <f>IF('[1]Leakage Tree Data'!A75&lt;&gt;"",'[1]Leakage Tree Data'!A75,"")</f>
        <v>Total US - Raleys</v>
      </c>
      <c s="72" t="str">
        <f>IF('[1]Leakage Tree Data'!B75&lt;&gt;"",'[1]Leakage Tree Data'!B75,"")</f>
        <v>Total US - GroceryX</v>
      </c>
      <c s="72">
        <f>IF('[1]Leakage Tree Data'!C75&lt;&gt;"",'[1]Leakage Tree Data'!C75,"")</f>
        <v>121171760.292236</v>
      </c>
      <c s="72">
        <f>IF('[1]Leakage Tree Data'!D75&lt;&gt;"",'[1]Leakage Tree Data'!D75,"")</f>
        <v>1491139.29217529</v>
      </c>
      <c s="72">
        <f>IF('[1]Leakage Tree Data'!E75&lt;&gt;"",'[1]Leakage Tree Data'!E75,"")</f>
        <v>1.23059967815854</v>
      </c>
      <c s="72">
        <f>IF('[1]Leakage Tree Data'!F75&lt;&gt;"",'[1]Leakage Tree Data'!F75,"")</f>
        <v>119680621.000061</v>
      </c>
      <c s="72">
        <f>IF('[1]Leakage Tree Data'!G75&lt;&gt;"",'[1]Leakage Tree Data'!G75,"")</f>
        <v>98.7694003218415</v>
      </c>
      <c s="72">
        <f>IF('[1]Leakage Tree Data'!H75&lt;&gt;"",'[1]Leakage Tree Data'!H75,"")</f>
        <v>61518209.9918823</v>
      </c>
      <c s="72" t="str">
        <f>IF('[1]Leakage Tree Data'!I75&lt;&gt;"",'[1]Leakage Tree Data'!I75,"")</f>
        <v>GroceryX</v>
      </c>
      <c s="72">
        <f>IF('[1]Leakage Tree Data'!J75&lt;&gt;"",'[1]Leakage Tree Data'!J75,"")</f>
        <v>99.7619196730326</v>
      </c>
      <c s="72">
        <f>IF('[1]Leakage Tree Data'!K75&lt;&gt;"",'[1]Leakage Tree Data'!K75,"")</f>
        <v>146462.755493164</v>
      </c>
      <c s="72">
        <f>IF('[1]Leakage Tree Data'!L75&lt;&gt;"",'[1]Leakage Tree Data'!L75,"")</f>
      </c>
      <c s="72">
        <f>IF('[1]Leakage Tree Data'!M75&lt;&gt;"",'[1]Leakage Tree Data'!M75,"")</f>
        <v>1266341.81838989</v>
      </c>
      <c s="72">
        <f>IF('[1]Leakage Tree Data'!N75&lt;&gt;"",'[1]Leakage Tree Data'!N75,"")</f>
      </c>
      <c s="72">
        <f>IF('[1]Leakage Tree Data'!O75&lt;&gt;"",'[1]Leakage Tree Data'!O75,"")</f>
        <v>15.189573504062</v>
      </c>
      <c s="72">
        <f>IF('[1]Leakage Tree Data'!P75&lt;&gt;"",'[1]Leakage Tree Data'!P75,"")</f>
        <v>266697.084486387</v>
      </c>
      <c s="72">
        <f>IF('[1]Leakage Tree Data'!Q75&lt;&gt;"",'[1]Leakage Tree Data'!Q75,"")</f>
      </c>
      <c s="72">
        <f>IF('[1]Leakage Tree Data'!R75&lt;&gt;"",'[1]Leakage Tree Data'!R75,"")</f>
        <v>1017625.85098267</v>
      </c>
      <c s="72">
        <f>IF('[1]Leakage Tree Data'!S75&lt;&gt;"",'[1]Leakage Tree Data'!S75,"")</f>
        <v>-6341.3440246582</v>
      </c>
      <c s="72">
        <f>IF('[1]Leakage Tree Data'!T75&lt;&gt;"",'[1]Leakage Tree Data'!T75,"")</f>
        <v>-0.0157000377551986</v>
      </c>
      <c s="72">
        <f>IF('[1]Leakage Tree Data'!U75&lt;&gt;"",'[1]Leakage Tree Data'!U75,"")</f>
        <v>1023967.19500732</v>
      </c>
      <c s="72">
        <f>IF('[1]Leakage Tree Data'!V75&lt;&gt;"",'[1]Leakage Tree Data'!V75,"")</f>
        <v>0.0157000377551952</v>
      </c>
      <c s="72">
        <f>IF('[1]Leakage Tree Data'!W75&lt;&gt;"",'[1]Leakage Tree Data'!W75,"")</f>
        <v>-1855949.2237854</v>
      </c>
      <c s="72">
        <f>IF('[1]Leakage Tree Data'!X75&lt;&gt;"",'[1]Leakage Tree Data'!X75,"")</f>
      </c>
      <c s="72">
        <f>IF('[1]Leakage Tree Data'!Y75&lt;&gt;"",'[1]Leakage Tree Data'!Y75,"")</f>
        <v>-0.0134825003223966</v>
      </c>
      <c s="72">
        <f>IF('[1]Leakage Tree Data'!Z75&lt;&gt;"",'[1]Leakage Tree Data'!Z75,"")</f>
        <v>4125.77124023438</v>
      </c>
      <c s="72">
        <f>IF('[1]Leakage Tree Data'!AA75&lt;&gt;"",'[1]Leakage Tree Data'!AA75,"")</f>
      </c>
      <c s="72">
        <f>IF('[1]Leakage Tree Data'!AB75&lt;&gt;"",'[1]Leakage Tree Data'!AB75,"")</f>
        <v>352200.748886108</v>
      </c>
      <c s="72">
        <f>IF('[1]Leakage Tree Data'!AC75&lt;&gt;"",'[1]Leakage Tree Data'!AC75,"")</f>
      </c>
      <c s="72">
        <f>IF('[1]Leakage Tree Data'!AD75&lt;&gt;"",'[1]Leakage Tree Data'!AD75,"")</f>
        <v>0.0108066738741712</v>
      </c>
      <c s="72">
        <f>IF('[1]Leakage Tree Data'!AE75&lt;&gt;"",'[1]Leakage Tree Data'!AE75,"")</f>
      </c>
      <c s="73">
        <f t="shared" si="11"/>
      </c>
      <c s="73">
        <f t="shared" si="12"/>
      </c>
      <c s="73">
        <f t="shared" si="13"/>
      </c>
      <c s="73">
        <f t="shared" si="14"/>
      </c>
      <c s="74">
        <f t="shared" si="15"/>
      </c>
      <c s="74">
        <f t="shared" si="16"/>
      </c>
      <c s="69" t="str">
        <f t="shared" ref="EI176:EI239" si="17">IF(CX176&lt;&gt;"",IF(CW$102&lt;&gt;"Y",IF(ISERROR(FIND(" - ",CX176))=FALSE,CX176,SUBSTITUTE(CX176,"-"," - ")),CX176),"")</f>
        <v>Total US - Raleys</v>
      </c>
      <c s="69" t="str">
        <f t="shared" ref="EJ176:EJ239" si="18">IF(CX176&lt;&gt;"",IF(CW$102&lt;&gt;"Y",IF(ISERROR(FIND(" - ",CY176))=FALSE,CY176,SUBSTITUTE(CY176,"-"," - ")),CY176),"")</f>
        <v>Total US - GroceryX</v>
      </c>
      <c s="77"/>
    </row>
    <row r="177" spans="1:141" ht="15">
      <c r="A17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10"/>
      </c>
      <c s="75">
        <f>IF(ISERROR(VLOOKUP(CV177,$AL$8:$AL$15,1,FALSE))=TRUE,IF(AND(CV177=CW177,CV177&lt;&gt;"",DI$111&lt;&gt;"",DK177&lt;&gt;""),IF(CW$101="Y",DK177-IF(ISERROR(VLOOKUP(CV177,$CA$113:$DK$300,37,FALSE))=TRUE,0,IF(VLOOKUP(CV177,$CA$113:$DK$300,37,FALSE)="",0,VLOOKUP(CV177,$CA$113:$DK$300,37,FALSE))),DK177-IF(AND(CW$102="Y",CV177=$CW$111),DI$111,0)),""),"")</f>
      </c>
      <c s="76">
        <f>IF(ISERROR(VLOOKUP(CV177,$AL$8:$AL$15,1,FALSE))=TRUE,IF(CB177&lt;&gt;"",IF(CB177&gt;0,IF(Z$4&lt;&gt;"",MIN(4,RANK(CB177,$CB$111:$CB$300)),RANK(CB177,$CB$111:$CB$300)),""),""),"")</f>
      </c>
      <c s="75">
        <f>IF(ISERROR(VLOOKUP(CV177,$AL$8:$AL$15,1,FALSE))=TRUE,IF(AND(ISERROR(FIND("NeighMkt",$CX$102))=FALSE,LEFT($CW$111,10)="ALL OUTLET",$CA177&lt;&gt;"",DK177&lt;&gt;""),"",IF(AND($CV177&lt;&gt;$CW177,$CW177=CD$110),$DK177,"")),"")</f>
        <v>4003775.508255</v>
      </c>
      <c s="76">
        <f>IF(ISERROR(VLOOKUP(CV177,$AL$8:$AL$15,1,FALSE))=TRUE,IF(CD177&lt;&gt;"",IF(CD177&gt;0,RANK(CD177,$CD$111:$CD$300),""),""),"")</f>
        <v>9</v>
      </c>
      <c s="75">
        <f>IF(ISERROR(VLOOKUP(CV177,$AL$8:$AL$15,1,FALSE))=TRUE,IF(AND(ISERROR(FIND("NeighMkt",$CX$102))=FALSE,LEFT($CW$111,10)="ALL OUTLET",$CA177&lt;&gt;"",DK177&lt;&gt;""),"",IF(AND($CV177&lt;&gt;$CW177,$CW177=CF$110),$DK177,"")),"")</f>
      </c>
      <c s="76">
        <f>IF(ISERROR(VLOOKUP(CV177,$AL$8:$AL$15,1,FALSE))=TRUE,IF(CF177&lt;&gt;"",IF(CF177&gt;0,RANK(CF177,$CF$111:$CF$300),""),""),"")</f>
      </c>
      <c s="75">
        <f>IF(ISERROR(VLOOKUP(CV177,$AL$8:$AL$15,1,FALSE))=TRUE,IF(AND(ISERROR(FIND("NeighMkt",$CX$102))=FALSE,LEFT($CW$111,10)="ALL OUTLET",$CA177&lt;&gt;"",DK177&lt;&gt;""),"",IF(AND($CV177&lt;&gt;$CW177,$CW177=CH$110),$DK177,"")),"")</f>
      </c>
      <c s="76">
        <f>IF(ISERROR(VLOOKUP(CV177,$AL$8:$AL$15,1,FALSE))=TRUE,IF(CH177&lt;&gt;"",IF(CH177&gt;0,RANK(CH177,$CH$111:$CH$300),""),""),"")</f>
      </c>
      <c s="75">
        <f>IF(ISERROR(VLOOKUP(CV177,$AL$8:$AL$15,1,FALSE))=TRUE,IF(AND(ISERROR(FIND("NeighMkt",$CX$102))=FALSE,LEFT($CW$111,10)="ALL OUTLET",$CA177&lt;&gt;"",DK177&lt;&gt;""),"",IF($Z$4="",IF(AND($CV177&lt;&gt;$CW177,$CW177=CJ$110),$DK177,""),IF(AND($CV177&lt;&gt;$CW177,$CW177&lt;&gt;CD$110,$CW177&lt;&gt;CF$110,$CW177&lt;&gt;CH$110,$CW177&lt;&gt;$CV$111),$DK177,""))),"")</f>
      </c>
      <c s="76">
        <f>IF(ISERROR(VLOOKUP(CV177,$AL$8:$AL$15,1,FALSE))=TRUE,IF(CJ177&lt;&gt;"",IF(CJ177&gt;0,RANK(CJ177,$CJ$111:$CJ$300),""),""),"")</f>
      </c>
      <c s="75">
        <f>IF(ISERROR(VLOOKUP(CV177,$AL$8:$AL$15,1,FALSE))=TRUE,IF(AND(CV177=CW177,CV177&lt;&gt;"",DJ177&lt;&gt;""),IF(AND(ISERROR(FIND("NeighMkt",$CX$102))=FALSE,LEFT($CW$111,10)="ALL OUTLET"),DJ177-IF(ISERROR(VLOOKUP(CV177,$CA$113:$DK$300,36,FALSE))=TRUE,0,IF(VLOOKUP(CV177,$CA$113:$DK$300,36,FALSE)="",0,VLOOKUP(CV177,$CA$113:$DK$300,36,FALSE))),DJ177),""),"")</f>
      </c>
      <c s="76">
        <f>IF(ISERROR(VLOOKUP(CV177,$AL$8:$AL$15,1,FALSE))=TRUE,IF(CL177&lt;&gt;"",IF(CL177&gt;0,IF($Z$4&lt;&gt;"",MIN(4,RANK(CL177,$CL$111:$CL$300)),RANK(CL177,$CL$111:$CL$300)),""),""),"")</f>
      </c>
      <c s="75">
        <f>IF(ISERROR(VLOOKUP(CV177,$AL$8:$AL$15,1,FALSE))=TRUE,IF(AND(ISERROR(FIND("NeighMkt",$CX$102))=FALSE,LEFT($CW$111,10)="ALL OUTLET",$CA177&lt;&gt;"",DJ177&lt;&gt;""),"",IF(AND($CV177&lt;&gt;$CW177,$CW177=CN$110),$DJ177,"")),"")</f>
        <v>6372138.0894928</v>
      </c>
      <c s="76">
        <f>IF(ISERROR(VLOOKUP(CV177,$AL$8:$AL$15,1,FALSE))=TRUE,IF(CN177&lt;&gt;"",IF(CN177&gt;0,RANK(CN177,$CN$111:$CN$300),""),""),"")</f>
        <v>24</v>
      </c>
      <c s="75">
        <f>IF(ISERROR(VLOOKUP(CV177,$AL$8:$AL$15,1,FALSE))=TRUE,IF(AND(ISERROR(FIND("NeighMkt",$CX$102))=FALSE,LEFT($CW$111,10)="ALL OUTLET",$CA177&lt;&gt;"",DJ177&lt;&gt;""),"",IF(AND($CV177&lt;&gt;$CW177,$CW177=CP$110),$DJ177,"")),"")</f>
      </c>
      <c s="76">
        <f>IF(ISERROR(VLOOKUP(CV177,$AL$8:$AL$15,1,FALSE))=TRUE,IF(CP177&lt;&gt;"",IF(CP177&gt;0,RANK(CP177,$CP$111:$CP$300),""),""),"")</f>
      </c>
      <c s="75">
        <f>IF(ISERROR(VLOOKUP(CV177,$AL$8:$AL$15,1,FALSE))=TRUE,IF(AND(ISERROR(FIND("NeighMkt",$CX$102))=FALSE,LEFT($CW$111,10)="ALL OUTLET",$CA177&lt;&gt;"",DJ177&lt;&gt;""),"",IF(AND($CV177&lt;&gt;$CW177,$CW177=CR$110),$DJ177,"")),"")</f>
      </c>
      <c s="76">
        <f>IF(ISERROR(VLOOKUP(CV177,$AL$8:$AL$15,1,FALSE))=TRUE,IF(CR177&lt;&gt;"",IF(CR177&gt;0,RANK(CR177,$CR$111:$CR$300),""),""),"")</f>
      </c>
      <c s="75">
        <f>IF(ISERROR(VLOOKUP(CV177,$AL$8:$AL$15,1,FALSE))=TRUE,IF(AND(ISERROR(FIND("NeighMkt",$CX$102))=FALSE,LEFT($CW$111,10)="ALL OUTLET",$CA177&lt;&gt;"",DJ177&lt;&gt;""),"",IF($Z$4="",IF(AND($CV177&lt;&gt;$CW177,$CW177=CT$110),$DJ177,""),IF(AND($CV177&lt;&gt;$CW177,$CW177&lt;&gt;CN$110,$CW177&lt;&gt;CP$110,$CW177&lt;&gt;CR$110,$CW177&lt;&gt;$CV$111),$DJ177,""))),"")</f>
      </c>
      <c s="76">
        <f>IF(ISERROR(VLOOKUP(CV177,$AL$8:$AL$15,1,FALSE))=TRUE,IF(CT177&lt;&gt;"",IF(CT177&gt;0,RANK(CT177,$CT$111:$CT$300),""),""),"")</f>
      </c>
      <c s="65" t="str">
        <f t="shared" ref="CV177:CV240" si="19">IF(ISERROR(RIGHT(EI177,LEN(EI177)-IF(ISERROR(FIND(" - ",SUBSTITUTE(EI177," - ","^^^",1)))=FALSE,FIND(" - ",SUBSTITUTE(EI177," - ","^^^",1)),FIND(" - ",EI177))-3+1))=FALSE,RIGHT(EI177,LEN(EI177)-IF(ISERROR(FIND(" - ",SUBSTITUTE(EI177," - ","^^^",1)))=FALSE,FIND(" - ",SUBSTITUTE(EI177," - ","^^^",1)),FIND(" - ",EI177))-3+1),"")</f>
        <v>Ralphs</v>
      </c>
      <c s="65" t="str">
        <f t="shared" ref="CW177:CW240" si="20">IF(EJ177&lt;&gt;"",RIGHT(EJ177,LEN(EJ177)-IF(ISERROR(FIND(" - ",SUBSTITUTE(EJ177," - ","^^^",1)))=FALSE,FIND(" - ",SUBSTITUTE(EJ177," - ","^^^",1)),FIND(" - ",EJ177))-3+1),"")</f>
        <v>GroceryX</v>
      </c>
      <c s="72" t="str">
        <f>IF('[1]Leakage Tree Data'!A76&lt;&gt;"",'[1]Leakage Tree Data'!A76,"")</f>
        <v>Total US - Ralphs</v>
      </c>
      <c s="72" t="str">
        <f>IF('[1]Leakage Tree Data'!B76&lt;&gt;"",'[1]Leakage Tree Data'!B76,"")</f>
        <v>Total US - GroceryX</v>
      </c>
      <c s="72">
        <f>IF('[1]Leakage Tree Data'!C76&lt;&gt;"",'[1]Leakage Tree Data'!C76,"")</f>
        <v>121171760.292236</v>
      </c>
      <c s="72">
        <f>IF('[1]Leakage Tree Data'!D76&lt;&gt;"",'[1]Leakage Tree Data'!D76,"")</f>
        <v>3928544.53900146</v>
      </c>
      <c s="72">
        <f>IF('[1]Leakage Tree Data'!E76&lt;&gt;"",'[1]Leakage Tree Data'!E76,"")</f>
        <v>3.24212880090773</v>
      </c>
      <c s="72">
        <f>IF('[1]Leakage Tree Data'!F76&lt;&gt;"",'[1]Leakage Tree Data'!F76,"")</f>
        <v>117243215.753235</v>
      </c>
      <c s="72">
        <f>IF('[1]Leakage Tree Data'!G76&lt;&gt;"",'[1]Leakage Tree Data'!G76,"")</f>
        <v>96.7578711990923</v>
      </c>
      <c s="72">
        <f>IF('[1]Leakage Tree Data'!H76&lt;&gt;"",'[1]Leakage Tree Data'!H76,"")</f>
        <v>61518209.9918823</v>
      </c>
      <c s="72" t="str">
        <f>IF('[1]Leakage Tree Data'!I76&lt;&gt;"",'[1]Leakage Tree Data'!I76,"")</f>
        <v>GroceryX</v>
      </c>
      <c s="72">
        <f>IF('[1]Leakage Tree Data'!J76&lt;&gt;"",'[1]Leakage Tree Data'!J76,"")</f>
        <v>98.7917472734951</v>
      </c>
      <c s="72">
        <f>IF('[1]Leakage Tree Data'!K76&lt;&gt;"",'[1]Leakage Tree Data'!K76,"")</f>
        <v>743295.449523926</v>
      </c>
      <c s="72">
        <f>IF('[1]Leakage Tree Data'!L76&lt;&gt;"",'[1]Leakage Tree Data'!L76,"")</f>
        <v>4003775.508255</v>
      </c>
      <c s="72">
        <f>IF('[1]Leakage Tree Data'!M76&lt;&gt;"",'[1]Leakage Tree Data'!M76,"")</f>
        <v>6372138.0894928</v>
      </c>
      <c s="72">
        <f>IF('[1]Leakage Tree Data'!N76&lt;&gt;"",'[1]Leakage Tree Data'!N76,"")</f>
        <v>4003775.508255</v>
      </c>
      <c s="72">
        <f>IF('[1]Leakage Tree Data'!O76&lt;&gt;"",'[1]Leakage Tree Data'!O76,"")</f>
        <v>28.9587895382533</v>
      </c>
      <c s="72">
        <f>IF('[1]Leakage Tree Data'!P76&lt;&gt;"",'[1]Leakage Tree Data'!P76,"")</f>
        <v>721924.660134586</v>
      </c>
      <c s="72">
        <f>IF('[1]Leakage Tree Data'!Q76&lt;&gt;"",'[1]Leakage Tree Data'!Q76,"")</f>
      </c>
      <c s="72">
        <f>IF('[1]Leakage Tree Data'!R76&lt;&gt;"",'[1]Leakage Tree Data'!R76,"")</f>
        <v>1017625.85098267</v>
      </c>
      <c s="72">
        <f>IF('[1]Leakage Tree Data'!S76&lt;&gt;"",'[1]Leakage Tree Data'!S76,"")</f>
        <v>47577.5570068359</v>
      </c>
      <c s="72">
        <f>IF('[1]Leakage Tree Data'!T76&lt;&gt;"",'[1]Leakage Tree Data'!T76,"")</f>
        <v>0.012138422264425</v>
      </c>
      <c s="72">
        <f>IF('[1]Leakage Tree Data'!U76&lt;&gt;"",'[1]Leakage Tree Data'!U76,"")</f>
        <v>970048.29397583</v>
      </c>
      <c s="72">
        <f>IF('[1]Leakage Tree Data'!V76&lt;&gt;"",'[1]Leakage Tree Data'!V76,"")</f>
        <v>-0.0121384222644281</v>
      </c>
      <c s="72">
        <f>IF('[1]Leakage Tree Data'!W76&lt;&gt;"",'[1]Leakage Tree Data'!W76,"")</f>
        <v>-1855949.2237854</v>
      </c>
      <c s="72">
        <f>IF('[1]Leakage Tree Data'!X76&lt;&gt;"",'[1]Leakage Tree Data'!X76,"")</f>
      </c>
      <c s="72">
        <f>IF('[1]Leakage Tree Data'!Y76&lt;&gt;"",'[1]Leakage Tree Data'!Y76,"")</f>
        <v>0.123813513959917</v>
      </c>
      <c s="72">
        <f>IF('[1]Leakage Tree Data'!Z76&lt;&gt;"",'[1]Leakage Tree Data'!Z76,"")</f>
        <v>-100890.330566406</v>
      </c>
      <c s="72">
        <f>IF('[1]Leakage Tree Data'!AA76&lt;&gt;"",'[1]Leakage Tree Data'!AA76,"")</f>
        <v>-696148.36088562</v>
      </c>
      <c s="72">
        <f>IF('[1]Leakage Tree Data'!AB76&lt;&gt;"",'[1]Leakage Tree Data'!AB76,"")</f>
        <v>-590344.283126831</v>
      </c>
      <c s="72">
        <f>IF('[1]Leakage Tree Data'!AC76&lt;&gt;"",'[1]Leakage Tree Data'!AC76,"")</f>
        <v>-696148.36088562</v>
      </c>
      <c s="72">
        <f>IF('[1]Leakage Tree Data'!AD76&lt;&gt;"",'[1]Leakage Tree Data'!AD76,"")</f>
        <v>-0.375602239569162</v>
      </c>
      <c s="72">
        <f>IF('[1]Leakage Tree Data'!AE76&lt;&gt;"",'[1]Leakage Tree Data'!AE76,"")</f>
      </c>
      <c s="73">
        <f t="shared" ref="EC177:EC208" si="21">IF(AND(CV177=CW177,CV177&lt;&gt;"",DJ177&lt;&gt;""),IF(AND(ISERROR(FIND("NeighMkt",$CX$102))=FALSE,LEFT($CW$111,10)="ALL OUTLET"),DJ177-IF(ISERROR(VLOOKUP(CV177,$CA$113:$DK$300,36,FALSE))=TRUE,0,IF(VLOOKUP(CV177,$CA$113:$DK$300,36,FALSE)="",0,VLOOKUP(CV177,$CA$113:$DK$300,36,FALSE))),DJ177),"")</f>
      </c>
      <c s="73">
        <f t="shared" ref="ED177:ED208" si="22">IF(AND(CV177=CW177,CV177&lt;&gt;"",DI$111&lt;&gt;"",DK177&lt;&gt;""),IF(CW$101="Y",DK177-IF(ISERROR(VLOOKUP(CV177,$CA$113:$DK$300,37,FALSE))=TRUE,0,IF(VLOOKUP(CV177,$CA$113:$DK$300,37,FALSE)="",0,VLOOKUP(CV177,$CA$113:$DK$300,37,FALSE))),DK177-IF(AND(CW$102="Y",CV177=$CW$111),DI$111,0)),"")</f>
      </c>
      <c s="73">
        <f t="shared" ref="EE177:EE208" si="23">IF(AND(CV177=CW177,CV177&lt;&gt;"",DJ177&lt;&gt;"",DY177&lt;&gt;""),IF(AND(ISERROR(FIND("NeighMkt",$CX$102))=FALSE,LEFT($CW$111,10)="ALL OUTLET"),DY177-IF(ISERROR(VLOOKUP(CV177,$CA$113:$DZ$300,51,FALSE))=TRUE,0,IF(VLOOKUP(CV177,$CA$113:$DZ$300,51,FALSE)="",0,VLOOKUP(CV177,$CA$113:$DZ$300,51,FALSE))),DY177),"")</f>
      </c>
      <c s="73">
        <f t="shared" ref="EF177:EF208" si="24">IF(AND(CV177=CW177,CV177&lt;&gt;"",DI$111&lt;&gt;"",DK177&lt;&gt;"",DZ177&lt;&gt;""),IF(CW$101="Y",DZ177-IF(ISERROR(VLOOKUP(CV177,$CA$113:$DZ$300,52,FALSE))=TRUE,0,IF(VLOOKUP(CV177,$CA$113:$DZ$300,52,FALSE)="",0,VLOOKUP(CV177,$CA$113:$DZ$300,52,FALSE))),DZ177-IF(AND(CW$102="Y",CV177=$CW$111),DX$111,0)),"")</f>
      </c>
      <c s="74">
        <f t="shared" ref="EG177:EG209" si="25">IF(AND(CV177=CW177,CV177&lt;&gt;"",DJ177&lt;&gt;"",EE177&lt;&gt;""),EC177/$DJ$112-(EC177-EE177)/($DJ$112-$DY$112),"")</f>
      </c>
      <c s="74">
        <f t="shared" ref="EH177:EH209" si="26">IF(AND(CV177=CW177,CV177&lt;&gt;"",DI$111&lt;&gt;"",DK177&lt;&gt;"",EF177&lt;&gt;""),ED177/$DI$112-(ED177-EF177)/($DI$112-$DX$112),"")</f>
      </c>
      <c s="69" t="str">
        <f t="shared" si="17"/>
        <v>Total US - Ralphs</v>
      </c>
      <c s="69" t="str">
        <f t="shared" si="18"/>
        <v>Total US - GroceryX</v>
      </c>
      <c s="77"/>
    </row>
    <row r="178" spans="1:141" ht="15">
      <c r="A17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ref="CA178:CA209" si="27">IF(ISERROR(FIND("Walmart",CV178))=FALSE,CW178,"")</f>
      </c>
      <c s="75">
        <f>IF(ISERROR(VLOOKUP(CV178,$AL$8:$AL$15,1,FALSE))=TRUE,IF(AND(CV178=CW178,CV178&lt;&gt;"",DI$111&lt;&gt;"",DK178&lt;&gt;""),IF(CW$101="Y",DK178-IF(ISERROR(VLOOKUP(CV178,$CA$113:$DK$300,37,FALSE))=TRUE,0,IF(VLOOKUP(CV178,$CA$113:$DK$300,37,FALSE)="",0,VLOOKUP(CV178,$CA$113:$DK$300,37,FALSE))),DK178-IF(AND(CW$102="Y",CV178=$CW$111),DI$111,0)),""),"")</f>
      </c>
      <c s="76">
        <f>IF(ISERROR(VLOOKUP(CV178,$AL$8:$AL$15,1,FALSE))=TRUE,IF(CB178&lt;&gt;"",IF(CB178&gt;0,IF(Z$4&lt;&gt;"",MIN(4,RANK(CB178,$CB$111:$CB$300)),RANK(CB178,$CB$111:$CB$300)),""),""),"")</f>
      </c>
      <c s="75">
        <f>IF(ISERROR(VLOOKUP(CV178,$AL$8:$AL$15,1,FALSE))=TRUE,IF(AND(ISERROR(FIND("NeighMkt",$CX$102))=FALSE,LEFT($CW$111,10)="ALL OUTLET",$CA178&lt;&gt;"",DK178&lt;&gt;""),"",IF(AND($CV178&lt;&gt;$CW178,$CW178=CD$110),$DK178,"")),"")</f>
      </c>
      <c s="76">
        <f>IF(ISERROR(VLOOKUP(CV178,$AL$8:$AL$15,1,FALSE))=TRUE,IF(CD178&lt;&gt;"",IF(CD178&gt;0,RANK(CD178,$CD$111:$CD$300),""),""),"")</f>
      </c>
      <c s="75">
        <f>IF(ISERROR(VLOOKUP(CV178,$AL$8:$AL$15,1,FALSE))=TRUE,IF(AND(ISERROR(FIND("NeighMkt",$CX$102))=FALSE,LEFT($CW$111,10)="ALL OUTLET",$CA178&lt;&gt;"",DK178&lt;&gt;""),"",IF(AND($CV178&lt;&gt;$CW178,$CW178=CF$110),$DK178,"")),"")</f>
      </c>
      <c s="76">
        <f>IF(ISERROR(VLOOKUP(CV178,$AL$8:$AL$15,1,FALSE))=TRUE,IF(CF178&lt;&gt;"",IF(CF178&gt;0,RANK(CF178,$CF$111:$CF$300),""),""),"")</f>
      </c>
      <c s="75">
        <f>IF(ISERROR(VLOOKUP(CV178,$AL$8:$AL$15,1,FALSE))=TRUE,IF(AND(ISERROR(FIND("NeighMkt",$CX$102))=FALSE,LEFT($CW$111,10)="ALL OUTLET",$CA178&lt;&gt;"",DK178&lt;&gt;""),"",IF(AND($CV178&lt;&gt;$CW178,$CW178=CH$110),$DK178,"")),"")</f>
      </c>
      <c s="76">
        <f>IF(ISERROR(VLOOKUP(CV178,$AL$8:$AL$15,1,FALSE))=TRUE,IF(CH178&lt;&gt;"",IF(CH178&gt;0,RANK(CH178,$CH$111:$CH$300),""),""),"")</f>
      </c>
      <c s="75">
        <f>IF(ISERROR(VLOOKUP(CV178,$AL$8:$AL$15,1,FALSE))=TRUE,IF(AND(ISERROR(FIND("NeighMkt",$CX$102))=FALSE,LEFT($CW$111,10)="ALL OUTLET",$CA178&lt;&gt;"",DK178&lt;&gt;""),"",IF($Z$4="",IF(AND($CV178&lt;&gt;$CW178,$CW178=CJ$110),$DK178,""),IF(AND($CV178&lt;&gt;$CW178,$CW178&lt;&gt;CD$110,$CW178&lt;&gt;CF$110,$CW178&lt;&gt;CH$110,$CW178&lt;&gt;$CV$111),$DK178,""))),"")</f>
      </c>
      <c s="76">
        <f>IF(ISERROR(VLOOKUP(CV178,$AL$8:$AL$15,1,FALSE))=TRUE,IF(CJ178&lt;&gt;"",IF(CJ178&gt;0,RANK(CJ178,$CJ$111:$CJ$300),""),""),"")</f>
      </c>
      <c s="75">
        <f>IF(ISERROR(VLOOKUP(CV178,$AL$8:$AL$15,1,FALSE))=TRUE,IF(AND(CV178=CW178,CV178&lt;&gt;"",DJ178&lt;&gt;""),IF(AND(ISERROR(FIND("NeighMkt",$CX$102))=FALSE,LEFT($CW$111,10)="ALL OUTLET"),DJ178-IF(ISERROR(VLOOKUP(CV178,$CA$113:$DK$300,36,FALSE))=TRUE,0,IF(VLOOKUP(CV178,$CA$113:$DK$300,36,FALSE)="",0,VLOOKUP(CV178,$CA$113:$DK$300,36,FALSE))),DJ178),""),"")</f>
      </c>
      <c s="76">
        <f>IF(ISERROR(VLOOKUP(CV178,$AL$8:$AL$15,1,FALSE))=TRUE,IF(CL178&lt;&gt;"",IF(CL178&gt;0,IF($Z$4&lt;&gt;"",MIN(4,RANK(CL178,$CL$111:$CL$300)),RANK(CL178,$CL$111:$CL$300)),""),""),"")</f>
      </c>
      <c s="75">
        <f>IF(ISERROR(VLOOKUP(CV178,$AL$8:$AL$15,1,FALSE))=TRUE,IF(AND(ISERROR(FIND("NeighMkt",$CX$102))=FALSE,LEFT($CW$111,10)="ALL OUTLET",$CA178&lt;&gt;"",DJ178&lt;&gt;""),"",IF(AND($CV178&lt;&gt;$CW178,$CW178=CN$110),$DJ178,"")),"")</f>
      </c>
      <c s="76">
        <f>IF(ISERROR(VLOOKUP(CV178,$AL$8:$AL$15,1,FALSE))=TRUE,IF(CN178&lt;&gt;"",IF(CN178&gt;0,RANK(CN178,$CN$111:$CN$300),""),""),"")</f>
      </c>
      <c s="75">
        <f>IF(ISERROR(VLOOKUP(CV178,$AL$8:$AL$15,1,FALSE))=TRUE,IF(AND(ISERROR(FIND("NeighMkt",$CX$102))=FALSE,LEFT($CW$111,10)="ALL OUTLET",$CA178&lt;&gt;"",DJ178&lt;&gt;""),"",IF(AND($CV178&lt;&gt;$CW178,$CW178=CP$110),$DJ178,"")),"")</f>
      </c>
      <c s="76">
        <f>IF(ISERROR(VLOOKUP(CV178,$AL$8:$AL$15,1,FALSE))=TRUE,IF(CP178&lt;&gt;"",IF(CP178&gt;0,RANK(CP178,$CP$111:$CP$300),""),""),"")</f>
      </c>
      <c s="75">
        <f>IF(ISERROR(VLOOKUP(CV178,$AL$8:$AL$15,1,FALSE))=TRUE,IF(AND(ISERROR(FIND("NeighMkt",$CX$102))=FALSE,LEFT($CW$111,10)="ALL OUTLET",$CA178&lt;&gt;"",DJ178&lt;&gt;""),"",IF(AND($CV178&lt;&gt;$CW178,$CW178=CR$110),$DJ178,"")),"")</f>
      </c>
      <c s="76">
        <f>IF(ISERROR(VLOOKUP(CV178,$AL$8:$AL$15,1,FALSE))=TRUE,IF(CR178&lt;&gt;"",IF(CR178&gt;0,RANK(CR178,$CR$111:$CR$300),""),""),"")</f>
      </c>
      <c s="75">
        <f>IF(ISERROR(VLOOKUP(CV178,$AL$8:$AL$15,1,FALSE))=TRUE,IF(AND(ISERROR(FIND("NeighMkt",$CX$102))=FALSE,LEFT($CW$111,10)="ALL OUTLET",$CA178&lt;&gt;"",DJ178&lt;&gt;""),"",IF($Z$4="",IF(AND($CV178&lt;&gt;$CW178,$CW178=CT$110),$DJ178,""),IF(AND($CV178&lt;&gt;$CW178,$CW178&lt;&gt;CN$110,$CW178&lt;&gt;CP$110,$CW178&lt;&gt;CR$110,$CW178&lt;&gt;$CV$111),$DJ178,""))),"")</f>
      </c>
      <c s="76">
        <f>IF(ISERROR(VLOOKUP(CV178,$AL$8:$AL$15,1,FALSE))=TRUE,IF(CT178&lt;&gt;"",IF(CT178&gt;0,RANK(CT178,$CT$111:$CT$300),""),""),"")</f>
      </c>
      <c s="65" t="str">
        <f t="shared" si="19"/>
        <v>Randalls</v>
      </c>
      <c s="65" t="str">
        <f t="shared" si="20"/>
        <v>GroceryX</v>
      </c>
      <c s="72" t="str">
        <f>IF('[1]Leakage Tree Data'!A77&lt;&gt;"",'[1]Leakage Tree Data'!A77,"")</f>
        <v>Total US - Randalls</v>
      </c>
      <c s="72" t="str">
        <f>IF('[1]Leakage Tree Data'!B77&lt;&gt;"",'[1]Leakage Tree Data'!B77,"")</f>
        <v>Total US - GroceryX</v>
      </c>
      <c s="72">
        <f>IF('[1]Leakage Tree Data'!C77&lt;&gt;"",'[1]Leakage Tree Data'!C77,"")</f>
        <v>121171760.292236</v>
      </c>
      <c s="72">
        <f>IF('[1]Leakage Tree Data'!D77&lt;&gt;"",'[1]Leakage Tree Data'!D77,"")</f>
        <v>888838.193847656</v>
      </c>
      <c s="72">
        <f>IF('[1]Leakage Tree Data'!E77&lt;&gt;"",'[1]Leakage Tree Data'!E77,"")</f>
        <v>0.733535760893461</v>
      </c>
      <c s="72">
        <f>IF('[1]Leakage Tree Data'!F77&lt;&gt;"",'[1]Leakage Tree Data'!F77,"")</f>
        <v>120282922.098389</v>
      </c>
      <c s="72">
        <f>IF('[1]Leakage Tree Data'!G77&lt;&gt;"",'[1]Leakage Tree Data'!G77,"")</f>
        <v>99.2664642391065</v>
      </c>
      <c s="72">
        <f>IF('[1]Leakage Tree Data'!H77&lt;&gt;"",'[1]Leakage Tree Data'!H77,"")</f>
        <v>61518209.9918823</v>
      </c>
      <c s="72" t="str">
        <f>IF('[1]Leakage Tree Data'!I77&lt;&gt;"",'[1]Leakage Tree Data'!I77,"")</f>
        <v>GroceryX</v>
      </c>
      <c s="72">
        <f>IF('[1]Leakage Tree Data'!J77&lt;&gt;"",'[1]Leakage Tree Data'!J77,"")</f>
        <v>99.804012825982</v>
      </c>
      <c s="72">
        <f>IF('[1]Leakage Tree Data'!K77&lt;&gt;"",'[1]Leakage Tree Data'!K77,"")</f>
        <v>120567.801269531</v>
      </c>
      <c s="72">
        <f>IF('[1]Leakage Tree Data'!L77&lt;&gt;"",'[1]Leakage Tree Data'!L77,"")</f>
      </c>
      <c s="72">
        <f>IF('[1]Leakage Tree Data'!M77&lt;&gt;"",'[1]Leakage Tree Data'!M77,"")</f>
      </c>
      <c s="72">
        <f>IF('[1]Leakage Tree Data'!N77&lt;&gt;"",'[1]Leakage Tree Data'!N77,"")</f>
      </c>
      <c s="72">
        <f>IF('[1]Leakage Tree Data'!O77&lt;&gt;"",'[1]Leakage Tree Data'!O77,"")</f>
        <v>18.9023354816775</v>
      </c>
      <c s="72">
        <f>IF('[1]Leakage Tree Data'!P77&lt;&gt;"",'[1]Leakage Tree Data'!P77,"")</f>
        <v>160692.802937991</v>
      </c>
      <c s="72">
        <f>IF('[1]Leakage Tree Data'!Q77&lt;&gt;"",'[1]Leakage Tree Data'!Q77,"")</f>
      </c>
      <c s="72">
        <f>IF('[1]Leakage Tree Data'!R77&lt;&gt;"",'[1]Leakage Tree Data'!R77,"")</f>
        <v>1017625.85098267</v>
      </c>
      <c s="72">
        <f>IF('[1]Leakage Tree Data'!S77&lt;&gt;"",'[1]Leakage Tree Data'!S77,"")</f>
        <v>2208.15344238281</v>
      </c>
      <c s="72">
        <f>IF('[1]Leakage Tree Data'!T77&lt;&gt;"",'[1]Leakage Tree Data'!T77,"")</f>
        <v>-0.0043747941850818</v>
      </c>
      <c s="72">
        <f>IF('[1]Leakage Tree Data'!U77&lt;&gt;"",'[1]Leakage Tree Data'!U77,"")</f>
        <v>1015417.69754028</v>
      </c>
      <c s="72">
        <f>IF('[1]Leakage Tree Data'!V77&lt;&gt;"",'[1]Leakage Tree Data'!V77,"")</f>
        <v>0.00437479418508246</v>
      </c>
      <c s="72">
        <f>IF('[1]Leakage Tree Data'!W77&lt;&gt;"",'[1]Leakage Tree Data'!W77,"")</f>
        <v>-1855949.2237854</v>
      </c>
      <c s="72">
        <f>IF('[1]Leakage Tree Data'!X77&lt;&gt;"",'[1]Leakage Tree Data'!X77,"")</f>
      </c>
      <c s="72">
        <f>IF('[1]Leakage Tree Data'!Y77&lt;&gt;"",'[1]Leakage Tree Data'!Y77,"")</f>
        <v>0.0121153234369302</v>
      </c>
      <c s="72">
        <f>IF('[1]Leakage Tree Data'!Z77&lt;&gt;"",'[1]Leakage Tree Data'!Z77,"")</f>
        <v>-11315.4067993164</v>
      </c>
      <c s="72">
        <f>IF('[1]Leakage Tree Data'!AA77&lt;&gt;"",'[1]Leakage Tree Data'!AA77,"")</f>
      </c>
      <c s="72">
        <f>IF('[1]Leakage Tree Data'!AB77&lt;&gt;"",'[1]Leakage Tree Data'!AB77,"")</f>
      </c>
      <c s="72">
        <f>IF('[1]Leakage Tree Data'!AC77&lt;&gt;"",'[1]Leakage Tree Data'!AC77,"")</f>
      </c>
      <c s="72">
        <f>IF('[1]Leakage Tree Data'!AD77&lt;&gt;"",'[1]Leakage Tree Data'!AD77,"")</f>
        <v>-0.484250708261158</v>
      </c>
      <c s="72">
        <f>IF('[1]Leakage Tree Data'!AE77&lt;&gt;"",'[1]Leakage Tree Data'!AE77,"")</f>
      </c>
      <c s="73">
        <f t="shared" si="21"/>
      </c>
      <c s="73">
        <f t="shared" si="22"/>
      </c>
      <c s="73">
        <f t="shared" si="23"/>
      </c>
      <c s="73">
        <f t="shared" si="24"/>
      </c>
      <c s="74">
        <f t="shared" si="25"/>
      </c>
      <c s="74">
        <f t="shared" si="26"/>
      </c>
      <c s="69" t="str">
        <f t="shared" si="17"/>
        <v>Total US - Randalls</v>
      </c>
      <c s="69" t="str">
        <f t="shared" si="18"/>
        <v>Total US - GroceryX</v>
      </c>
      <c s="77"/>
    </row>
    <row r="179" spans="1:141" ht="15">
      <c r="A17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179,$AL$8:$AL$15,1,FALSE))=TRUE,IF(AND(CV179=CW179,CV179&lt;&gt;"",DI$111&lt;&gt;"",DK179&lt;&gt;""),IF(CW$101="Y",DK179-IF(ISERROR(VLOOKUP(CV179,$CA$113:$DK$300,37,FALSE))=TRUE,0,IF(VLOOKUP(CV179,$CA$113:$DK$300,37,FALSE)="",0,VLOOKUP(CV179,$CA$113:$DK$300,37,FALSE))),DK179-IF(AND(CW$102="Y",CV179=$CW$111),DI$111,0)),""),"")</f>
      </c>
      <c s="76">
        <f>IF(ISERROR(VLOOKUP(CV179,$AL$8:$AL$15,1,FALSE))=TRUE,IF(CB179&lt;&gt;"",IF(CB179&gt;0,IF(Z$4&lt;&gt;"",MIN(4,RANK(CB179,$CB$111:$CB$300)),RANK(CB179,$CB$111:$CB$300)),""),""),"")</f>
      </c>
      <c s="75">
        <f>IF(ISERROR(VLOOKUP(CV179,$AL$8:$AL$15,1,FALSE))=TRUE,IF(AND(ISERROR(FIND("NeighMkt",$CX$102))=FALSE,LEFT($CW$111,10)="ALL OUTLET",$CA179&lt;&gt;"",DK179&lt;&gt;""),"",IF(AND($CV179&lt;&gt;$CW179,$CW179=CD$110),$DK179,"")),"")</f>
      </c>
      <c s="76">
        <f>IF(ISERROR(VLOOKUP(CV179,$AL$8:$AL$15,1,FALSE))=TRUE,IF(CD179&lt;&gt;"",IF(CD179&gt;0,RANK(CD179,$CD$111:$CD$300),""),""),"")</f>
      </c>
      <c s="75">
        <f>IF(ISERROR(VLOOKUP(CV179,$AL$8:$AL$15,1,FALSE))=TRUE,IF(AND(ISERROR(FIND("NeighMkt",$CX$102))=FALSE,LEFT($CW$111,10)="ALL OUTLET",$CA179&lt;&gt;"",DK179&lt;&gt;""),"",IF(AND($CV179&lt;&gt;$CW179,$CW179=CF$110),$DK179,"")),"")</f>
      </c>
      <c s="76">
        <f>IF(ISERROR(VLOOKUP(CV179,$AL$8:$AL$15,1,FALSE))=TRUE,IF(CF179&lt;&gt;"",IF(CF179&gt;0,RANK(CF179,$CF$111:$CF$300),""),""),"")</f>
      </c>
      <c s="75">
        <f>IF(ISERROR(VLOOKUP(CV179,$AL$8:$AL$15,1,FALSE))=TRUE,IF(AND(ISERROR(FIND("NeighMkt",$CX$102))=FALSE,LEFT($CW$111,10)="ALL OUTLET",$CA179&lt;&gt;"",DK179&lt;&gt;""),"",IF(AND($CV179&lt;&gt;$CW179,$CW179=CH$110),$DK179,"")),"")</f>
      </c>
      <c s="76">
        <f>IF(ISERROR(VLOOKUP(CV179,$AL$8:$AL$15,1,FALSE))=TRUE,IF(CH179&lt;&gt;"",IF(CH179&gt;0,RANK(CH179,$CH$111:$CH$300),""),""),"")</f>
      </c>
      <c s="75">
        <f>IF(ISERROR(VLOOKUP(CV179,$AL$8:$AL$15,1,FALSE))=TRUE,IF(AND(ISERROR(FIND("NeighMkt",$CX$102))=FALSE,LEFT($CW$111,10)="ALL OUTLET",$CA179&lt;&gt;"",DK179&lt;&gt;""),"",IF($Z$4="",IF(AND($CV179&lt;&gt;$CW179,$CW179=CJ$110),$DK179,""),IF(AND($CV179&lt;&gt;$CW179,$CW179&lt;&gt;CD$110,$CW179&lt;&gt;CF$110,$CW179&lt;&gt;CH$110,$CW179&lt;&gt;$CV$111),$DK179,""))),"")</f>
      </c>
      <c s="76">
        <f>IF(ISERROR(VLOOKUP(CV179,$AL$8:$AL$15,1,FALSE))=TRUE,IF(CJ179&lt;&gt;"",IF(CJ179&gt;0,RANK(CJ179,$CJ$111:$CJ$300),""),""),"")</f>
      </c>
      <c s="75">
        <f>IF(ISERROR(VLOOKUP(CV179,$AL$8:$AL$15,1,FALSE))=TRUE,IF(AND(CV179=CW179,CV179&lt;&gt;"",DJ179&lt;&gt;""),IF(AND(ISERROR(FIND("NeighMkt",$CX$102))=FALSE,LEFT($CW$111,10)="ALL OUTLET"),DJ179-IF(ISERROR(VLOOKUP(CV179,$CA$113:$DK$300,36,FALSE))=TRUE,0,IF(VLOOKUP(CV179,$CA$113:$DK$300,36,FALSE)="",0,VLOOKUP(CV179,$CA$113:$DK$300,36,FALSE))),DJ179),""),"")</f>
      </c>
      <c s="76">
        <f>IF(ISERROR(VLOOKUP(CV179,$AL$8:$AL$15,1,FALSE))=TRUE,IF(CL179&lt;&gt;"",IF(CL179&gt;0,IF($Z$4&lt;&gt;"",MIN(4,RANK(CL179,$CL$111:$CL$300)),RANK(CL179,$CL$111:$CL$300)),""),""),"")</f>
      </c>
      <c s="75">
        <f>IF(ISERROR(VLOOKUP(CV179,$AL$8:$AL$15,1,FALSE))=TRUE,IF(AND(ISERROR(FIND("NeighMkt",$CX$102))=FALSE,LEFT($CW$111,10)="ALL OUTLET",$CA179&lt;&gt;"",DJ179&lt;&gt;""),"",IF(AND($CV179&lt;&gt;$CW179,$CW179=CN$110),$DJ179,"")),"")</f>
        <v>1349132.98492432</v>
      </c>
      <c s="76">
        <f>IF(ISERROR(VLOOKUP(CV179,$AL$8:$AL$15,1,FALSE))=TRUE,IF(CN179&lt;&gt;"",IF(CN179&gt;0,RANK(CN179,$CN$111:$CN$300),""),""),"")</f>
        <v>49</v>
      </c>
      <c s="75">
        <f>IF(ISERROR(VLOOKUP(CV179,$AL$8:$AL$15,1,FALSE))=TRUE,IF(AND(ISERROR(FIND("NeighMkt",$CX$102))=FALSE,LEFT($CW$111,10)="ALL OUTLET",$CA179&lt;&gt;"",DJ179&lt;&gt;""),"",IF(AND($CV179&lt;&gt;$CW179,$CW179=CP$110),$DJ179,"")),"")</f>
      </c>
      <c s="76">
        <f>IF(ISERROR(VLOOKUP(CV179,$AL$8:$AL$15,1,FALSE))=TRUE,IF(CP179&lt;&gt;"",IF(CP179&gt;0,RANK(CP179,$CP$111:$CP$300),""),""),"")</f>
      </c>
      <c s="75">
        <f>IF(ISERROR(VLOOKUP(CV179,$AL$8:$AL$15,1,FALSE))=TRUE,IF(AND(ISERROR(FIND("NeighMkt",$CX$102))=FALSE,LEFT($CW$111,10)="ALL OUTLET",$CA179&lt;&gt;"",DJ179&lt;&gt;""),"",IF(AND($CV179&lt;&gt;$CW179,$CW179=CR$110),$DJ179,"")),"")</f>
      </c>
      <c s="76">
        <f>IF(ISERROR(VLOOKUP(CV179,$AL$8:$AL$15,1,FALSE))=TRUE,IF(CR179&lt;&gt;"",IF(CR179&gt;0,RANK(CR179,$CR$111:$CR$300),""),""),"")</f>
      </c>
      <c s="75">
        <f>IF(ISERROR(VLOOKUP(CV179,$AL$8:$AL$15,1,FALSE))=TRUE,IF(AND(ISERROR(FIND("NeighMkt",$CX$102))=FALSE,LEFT($CW$111,10)="ALL OUTLET",$CA179&lt;&gt;"",DJ179&lt;&gt;""),"",IF($Z$4="",IF(AND($CV179&lt;&gt;$CW179,$CW179=CT$110),$DJ179,""),IF(AND($CV179&lt;&gt;$CW179,$CW179&lt;&gt;CN$110,$CW179&lt;&gt;CP$110,$CW179&lt;&gt;CR$110,$CW179&lt;&gt;$CV$111),$DJ179,""))),"")</f>
      </c>
      <c s="76">
        <f>IF(ISERROR(VLOOKUP(CV179,$AL$8:$AL$15,1,FALSE))=TRUE,IF(CT179&lt;&gt;"",IF(CT179&gt;0,RANK(CT179,$CT$111:$CT$300),""),""),"")</f>
      </c>
      <c s="65" t="str">
        <f t="shared" si="19"/>
        <v>Redners Markets</v>
      </c>
      <c s="65" t="str">
        <f t="shared" si="20"/>
        <v>GroceryX</v>
      </c>
      <c s="72" t="str">
        <f>IF('[1]Leakage Tree Data'!A78&lt;&gt;"",'[1]Leakage Tree Data'!A78,"")</f>
        <v>Total US - Redners Markets</v>
      </c>
      <c s="72" t="str">
        <f>IF('[1]Leakage Tree Data'!B78&lt;&gt;"",'[1]Leakage Tree Data'!B78,"")</f>
        <v>Total US - GroceryX</v>
      </c>
      <c s="72">
        <f>IF('[1]Leakage Tree Data'!C78&lt;&gt;"",'[1]Leakage Tree Data'!C78,"")</f>
        <v>121171760.292236</v>
      </c>
      <c s="72">
        <f>IF('[1]Leakage Tree Data'!D78&lt;&gt;"",'[1]Leakage Tree Data'!D78,"")</f>
        <v>874541.877746582</v>
      </c>
      <c s="72">
        <f>IF('[1]Leakage Tree Data'!E78&lt;&gt;"",'[1]Leakage Tree Data'!E78,"")</f>
        <v>0.721737371510823</v>
      </c>
      <c s="72">
        <f>IF('[1]Leakage Tree Data'!F78&lt;&gt;"",'[1]Leakage Tree Data'!F78,"")</f>
        <v>120297218.41449</v>
      </c>
      <c s="72">
        <f>IF('[1]Leakage Tree Data'!G78&lt;&gt;"",'[1]Leakage Tree Data'!G78,"")</f>
        <v>99.2782626284892</v>
      </c>
      <c s="72">
        <f>IF('[1]Leakage Tree Data'!H78&lt;&gt;"",'[1]Leakage Tree Data'!H78,"")</f>
        <v>61518209.9918823</v>
      </c>
      <c s="72" t="str">
        <f>IF('[1]Leakage Tree Data'!I78&lt;&gt;"",'[1]Leakage Tree Data'!I78,"")</f>
        <v>GroceryX</v>
      </c>
      <c s="72">
        <f>IF('[1]Leakage Tree Data'!J78&lt;&gt;"",'[1]Leakage Tree Data'!J78,"")</f>
        <v>99.8347359399282</v>
      </c>
      <c s="72">
        <f>IF('[1]Leakage Tree Data'!K78&lt;&gt;"",'[1]Leakage Tree Data'!K78,"")</f>
        <v>101667.491516113</v>
      </c>
      <c s="72">
        <f>IF('[1]Leakage Tree Data'!L78&lt;&gt;"",'[1]Leakage Tree Data'!L78,"")</f>
      </c>
      <c s="72">
        <f>IF('[1]Leakage Tree Data'!M78&lt;&gt;"",'[1]Leakage Tree Data'!M78,"")</f>
        <v>1349132.98492432</v>
      </c>
      <c s="72">
        <f>IF('[1]Leakage Tree Data'!N78&lt;&gt;"",'[1]Leakage Tree Data'!N78,"")</f>
      </c>
      <c s="72">
        <f>IF('[1]Leakage Tree Data'!O78&lt;&gt;"",'[1]Leakage Tree Data'!O78,"")</f>
        <v>28.244335240934</v>
      </c>
      <c s="72">
        <f>IF('[1]Leakage Tree Data'!P78&lt;&gt;"",'[1]Leakage Tree Data'!P78,"")</f>
        <v>159200.081021319</v>
      </c>
      <c s="72">
        <f>IF('[1]Leakage Tree Data'!Q78&lt;&gt;"",'[1]Leakage Tree Data'!Q78,"")</f>
      </c>
      <c s="72">
        <f>IF('[1]Leakage Tree Data'!R78&lt;&gt;"",'[1]Leakage Tree Data'!R78,"")</f>
        <v>1017625.85098267</v>
      </c>
      <c s="72">
        <f>IF('[1]Leakage Tree Data'!S78&lt;&gt;"",'[1]Leakage Tree Data'!S78,"")</f>
        <v>-70837.3934936523</v>
      </c>
      <c s="72">
        <f>IF('[1]Leakage Tree Data'!T78&lt;&gt;"",'[1]Leakage Tree Data'!T78,"")</f>
        <v>-0.0650680727100361</v>
      </c>
      <c s="72">
        <f>IF('[1]Leakage Tree Data'!U78&lt;&gt;"",'[1]Leakage Tree Data'!U78,"")</f>
        <v>1088463.24447632</v>
      </c>
      <c s="72">
        <f>IF('[1]Leakage Tree Data'!V78&lt;&gt;"",'[1]Leakage Tree Data'!V78,"")</f>
        <v>0.0650680727100337</v>
      </c>
      <c s="72">
        <f>IF('[1]Leakage Tree Data'!W78&lt;&gt;"",'[1]Leakage Tree Data'!W78,"")</f>
        <v>-1855949.2237854</v>
      </c>
      <c s="72">
        <f>IF('[1]Leakage Tree Data'!X78&lt;&gt;"",'[1]Leakage Tree Data'!X78,"")</f>
      </c>
      <c s="72">
        <f>IF('[1]Leakage Tree Data'!Y78&lt;&gt;"",'[1]Leakage Tree Data'!Y78,"")</f>
        <v>0.00227823227268686</v>
      </c>
      <c s="72">
        <f>IF('[1]Leakage Tree Data'!Z78&lt;&gt;"",'[1]Leakage Tree Data'!Z78,"")</f>
        <v>-4511.02758789063</v>
      </c>
      <c s="72">
        <f>IF('[1]Leakage Tree Data'!AA78&lt;&gt;"",'[1]Leakage Tree Data'!AA78,"")</f>
      </c>
      <c s="72">
        <f>IF('[1]Leakage Tree Data'!AB78&lt;&gt;"",'[1]Leakage Tree Data'!AB78,"")</f>
        <v>57416.4068908691</v>
      </c>
      <c s="72">
        <f>IF('[1]Leakage Tree Data'!AC78&lt;&gt;"",'[1]Leakage Tree Data'!AC78,"")</f>
      </c>
      <c s="72">
        <f>IF('[1]Leakage Tree Data'!AD78&lt;&gt;"",'[1]Leakage Tree Data'!AD78,"")</f>
        <v>3.23007531576835</v>
      </c>
      <c s="72">
        <f>IF('[1]Leakage Tree Data'!AE78&lt;&gt;"",'[1]Leakage Tree Data'!AE78,"")</f>
      </c>
      <c s="73">
        <f t="shared" si="21"/>
      </c>
      <c s="73">
        <f t="shared" si="22"/>
      </c>
      <c s="73">
        <f t="shared" si="23"/>
      </c>
      <c s="73">
        <f t="shared" si="24"/>
      </c>
      <c s="74">
        <f t="shared" si="25"/>
      </c>
      <c s="74">
        <f t="shared" si="26"/>
      </c>
      <c s="69" t="str">
        <f t="shared" si="17"/>
        <v>Total US - Redners Markets</v>
      </c>
      <c s="69" t="str">
        <f t="shared" si="18"/>
        <v>Total US - GroceryX</v>
      </c>
      <c s="77"/>
    </row>
    <row r="180" spans="1:141" ht="15">
      <c r="A18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180,$AL$8:$AL$15,1,FALSE))=TRUE,IF(AND(CV180=CW180,CV180&lt;&gt;"",DI$111&lt;&gt;"",DK180&lt;&gt;""),IF(CW$101="Y",DK180-IF(ISERROR(VLOOKUP(CV180,$CA$113:$DK$300,37,FALSE))=TRUE,0,IF(VLOOKUP(CV180,$CA$113:$DK$300,37,FALSE)="",0,VLOOKUP(CV180,$CA$113:$DK$300,37,FALSE))),DK180-IF(AND(CW$102="Y",CV180=$CW$111),DI$111,0)),""),"")</f>
      </c>
      <c s="76">
        <f>IF(ISERROR(VLOOKUP(CV180,$AL$8:$AL$15,1,FALSE))=TRUE,IF(CB180&lt;&gt;"",IF(CB180&gt;0,IF(Z$4&lt;&gt;"",MIN(4,RANK(CB180,$CB$111:$CB$300)),RANK(CB180,$CB$111:$CB$300)),""),""),"")</f>
      </c>
      <c s="75">
        <f>IF(ISERROR(VLOOKUP(CV180,$AL$8:$AL$15,1,FALSE))=TRUE,IF(AND(ISERROR(FIND("NeighMkt",$CX$102))=FALSE,LEFT($CW$111,10)="ALL OUTLET",$CA180&lt;&gt;"",DK180&lt;&gt;""),"",IF(AND($CV180&lt;&gt;$CW180,$CW180=CD$110),$DK180,"")),"")</f>
        <v>5644189.27176666</v>
      </c>
      <c s="76">
        <f>IF(ISERROR(VLOOKUP(CV180,$AL$8:$AL$15,1,FALSE))=TRUE,IF(CD180&lt;&gt;"",IF(CD180&gt;0,RANK(CD180,$CD$111:$CD$300),""),""),"")</f>
        <v>5</v>
      </c>
      <c s="75">
        <f>IF(ISERROR(VLOOKUP(CV180,$AL$8:$AL$15,1,FALSE))=TRUE,IF(AND(ISERROR(FIND("NeighMkt",$CX$102))=FALSE,LEFT($CW$111,10)="ALL OUTLET",$CA180&lt;&gt;"",DK180&lt;&gt;""),"",IF(AND($CV180&lt;&gt;$CW180,$CW180=CF$110),$DK180,"")),"")</f>
      </c>
      <c s="76">
        <f>IF(ISERROR(VLOOKUP(CV180,$AL$8:$AL$15,1,FALSE))=TRUE,IF(CF180&lt;&gt;"",IF(CF180&gt;0,RANK(CF180,$CF$111:$CF$300),""),""),"")</f>
      </c>
      <c s="75">
        <f>IF(ISERROR(VLOOKUP(CV180,$AL$8:$AL$15,1,FALSE))=TRUE,IF(AND(ISERROR(FIND("NeighMkt",$CX$102))=FALSE,LEFT($CW$111,10)="ALL OUTLET",$CA180&lt;&gt;"",DK180&lt;&gt;""),"",IF(AND($CV180&lt;&gt;$CW180,$CW180=CH$110),$DK180,"")),"")</f>
      </c>
      <c s="76">
        <f>IF(ISERROR(VLOOKUP(CV180,$AL$8:$AL$15,1,FALSE))=TRUE,IF(CH180&lt;&gt;"",IF(CH180&gt;0,RANK(CH180,$CH$111:$CH$300),""),""),"")</f>
      </c>
      <c s="75">
        <f>IF(ISERROR(VLOOKUP(CV180,$AL$8:$AL$15,1,FALSE))=TRUE,IF(AND(ISERROR(FIND("NeighMkt",$CX$102))=FALSE,LEFT($CW$111,10)="ALL OUTLET",$CA180&lt;&gt;"",DK180&lt;&gt;""),"",IF($Z$4="",IF(AND($CV180&lt;&gt;$CW180,$CW180=CJ$110),$DK180,""),IF(AND($CV180&lt;&gt;$CW180,$CW180&lt;&gt;CD$110,$CW180&lt;&gt;CF$110,$CW180&lt;&gt;CH$110,$CW180&lt;&gt;$CV$111),$DK180,""))),"")</f>
      </c>
      <c s="76">
        <f>IF(ISERROR(VLOOKUP(CV180,$AL$8:$AL$15,1,FALSE))=TRUE,IF(CJ180&lt;&gt;"",IF(CJ180&gt;0,RANK(CJ180,$CJ$111:$CJ$300),""),""),"")</f>
      </c>
      <c s="75">
        <f>IF(ISERROR(VLOOKUP(CV180,$AL$8:$AL$15,1,FALSE))=TRUE,IF(AND(CV180=CW180,CV180&lt;&gt;"",DJ180&lt;&gt;""),IF(AND(ISERROR(FIND("NeighMkt",$CX$102))=FALSE,LEFT($CW$111,10)="ALL OUTLET"),DJ180-IF(ISERROR(VLOOKUP(CV180,$CA$113:$DK$300,36,FALSE))=TRUE,0,IF(VLOOKUP(CV180,$CA$113:$DK$300,36,FALSE)="",0,VLOOKUP(CV180,$CA$113:$DK$300,36,FALSE))),DJ180),""),"")</f>
      </c>
      <c s="76">
        <f>IF(ISERROR(VLOOKUP(CV180,$AL$8:$AL$15,1,FALSE))=TRUE,IF(CL180&lt;&gt;"",IF(CL180&gt;0,IF($Z$4&lt;&gt;"",MIN(4,RANK(CL180,$CL$111:$CL$300)),RANK(CL180,$CL$111:$CL$300)),""),""),"")</f>
      </c>
      <c s="75">
        <f>IF(ISERROR(VLOOKUP(CV180,$AL$8:$AL$15,1,FALSE))=TRUE,IF(AND(ISERROR(FIND("NeighMkt",$CX$102))=FALSE,LEFT($CW$111,10)="ALL OUTLET",$CA180&lt;&gt;"",DJ180&lt;&gt;""),"",IF(AND($CV180&lt;&gt;$CW180,$CW180=CN$110),$DJ180,"")),"")</f>
        <v>17293796.6578331</v>
      </c>
      <c s="76">
        <f>IF(ISERROR(VLOOKUP(CV180,$AL$8:$AL$15,1,FALSE))=TRUE,IF(CN180&lt;&gt;"",IF(CN180&gt;0,RANK(CN180,$CN$111:$CN$300),""),""),"")</f>
        <v>7</v>
      </c>
      <c s="75">
        <f>IF(ISERROR(VLOOKUP(CV180,$AL$8:$AL$15,1,FALSE))=TRUE,IF(AND(ISERROR(FIND("NeighMkt",$CX$102))=FALSE,LEFT($CW$111,10)="ALL OUTLET",$CA180&lt;&gt;"",DJ180&lt;&gt;""),"",IF(AND($CV180&lt;&gt;$CW180,$CW180=CP$110),$DJ180,"")),"")</f>
      </c>
      <c s="76">
        <f>IF(ISERROR(VLOOKUP(CV180,$AL$8:$AL$15,1,FALSE))=TRUE,IF(CP180&lt;&gt;"",IF(CP180&gt;0,RANK(CP180,$CP$111:$CP$300),""),""),"")</f>
      </c>
      <c s="75">
        <f>IF(ISERROR(VLOOKUP(CV180,$AL$8:$AL$15,1,FALSE))=TRUE,IF(AND(ISERROR(FIND("NeighMkt",$CX$102))=FALSE,LEFT($CW$111,10)="ALL OUTLET",$CA180&lt;&gt;"",DJ180&lt;&gt;""),"",IF(AND($CV180&lt;&gt;$CW180,$CW180=CR$110),$DJ180,"")),"")</f>
      </c>
      <c s="76">
        <f>IF(ISERROR(VLOOKUP(CV180,$AL$8:$AL$15,1,FALSE))=TRUE,IF(CR180&lt;&gt;"",IF(CR180&gt;0,RANK(CR180,$CR$111:$CR$300),""),""),"")</f>
      </c>
      <c s="75">
        <f>IF(ISERROR(VLOOKUP(CV180,$AL$8:$AL$15,1,FALSE))=TRUE,IF(AND(ISERROR(FIND("NeighMkt",$CX$102))=FALSE,LEFT($CW$111,10)="ALL OUTLET",$CA180&lt;&gt;"",DJ180&lt;&gt;""),"",IF($Z$4="",IF(AND($CV180&lt;&gt;$CW180,$CW180=CT$110),$DJ180,""),IF(AND($CV180&lt;&gt;$CW180,$CW180&lt;&gt;CN$110,$CW180&lt;&gt;CP$110,$CW180&lt;&gt;CR$110,$CW180&lt;&gt;$CV$111),$DJ180,""))),"")</f>
      </c>
      <c s="76">
        <f>IF(ISERROR(VLOOKUP(CV180,$AL$8:$AL$15,1,FALSE))=TRUE,IF(CT180&lt;&gt;"",IF(CT180&gt;0,RANK(CT180,$CT$111:$CT$300),""),""),"")</f>
      </c>
      <c s="65" t="str">
        <f t="shared" si="19"/>
        <v>Safeway</v>
      </c>
      <c s="65" t="str">
        <f t="shared" si="20"/>
        <v>GroceryX</v>
      </c>
      <c s="72" t="str">
        <f>IF('[1]Leakage Tree Data'!A79&lt;&gt;"",'[1]Leakage Tree Data'!A79,"")</f>
        <v>Total US - Safeway</v>
      </c>
      <c s="72" t="str">
        <f>IF('[1]Leakage Tree Data'!B79&lt;&gt;"",'[1]Leakage Tree Data'!B79,"")</f>
        <v>Total US - GroceryX</v>
      </c>
      <c s="72">
        <f>IF('[1]Leakage Tree Data'!C79&lt;&gt;"",'[1]Leakage Tree Data'!C79,"")</f>
        <v>121171760.292236</v>
      </c>
      <c s="72">
        <f>IF('[1]Leakage Tree Data'!D79&lt;&gt;"",'[1]Leakage Tree Data'!D79,"")</f>
        <v>12586133.8451233</v>
      </c>
      <c s="72">
        <f>IF('[1]Leakage Tree Data'!E79&lt;&gt;"",'[1]Leakage Tree Data'!E79,"")</f>
        <v>10.387019066793</v>
      </c>
      <c s="72">
        <f>IF('[1]Leakage Tree Data'!F79&lt;&gt;"",'[1]Leakage Tree Data'!F79,"")</f>
        <v>108585626.447113</v>
      </c>
      <c s="72">
        <f>IF('[1]Leakage Tree Data'!G79&lt;&gt;"",'[1]Leakage Tree Data'!G79,"")</f>
        <v>89.612980933207</v>
      </c>
      <c s="72">
        <f>IF('[1]Leakage Tree Data'!H79&lt;&gt;"",'[1]Leakage Tree Data'!H79,"")</f>
        <v>61518209.9918823</v>
      </c>
      <c s="72" t="str">
        <f>IF('[1]Leakage Tree Data'!I79&lt;&gt;"",'[1]Leakage Tree Data'!I79,"")</f>
        <v>GroceryX</v>
      </c>
      <c s="72">
        <f>IF('[1]Leakage Tree Data'!J79&lt;&gt;"",'[1]Leakage Tree Data'!J79,"")</f>
        <v>97.1203305831684</v>
      </c>
      <c s="72">
        <f>IF('[1]Leakage Tree Data'!K79&lt;&gt;"",'[1]Leakage Tree Data'!K79,"")</f>
        <v>1771521.07891846</v>
      </c>
      <c s="72">
        <f>IF('[1]Leakage Tree Data'!L79&lt;&gt;"",'[1]Leakage Tree Data'!L79,"")</f>
        <v>5644189.27176666</v>
      </c>
      <c s="72">
        <f>IF('[1]Leakage Tree Data'!M79&lt;&gt;"",'[1]Leakage Tree Data'!M79,"")</f>
        <v>17293796.6578331</v>
      </c>
      <c s="72">
        <f>IF('[1]Leakage Tree Data'!N79&lt;&gt;"",'[1]Leakage Tree Data'!N79,"")</f>
        <v>5644189.27176666</v>
      </c>
      <c s="72">
        <f>IF('[1]Leakage Tree Data'!O79&lt;&gt;"",'[1]Leakage Tree Data'!O79,"")</f>
        <v>25.3296214975879</v>
      </c>
      <c s="72">
        <f>IF('[1]Leakage Tree Data'!P79&lt;&gt;"",'[1]Leakage Tree Data'!P79,"")</f>
        <v>2537624.50858841</v>
      </c>
      <c s="72">
        <f>IF('[1]Leakage Tree Data'!Q79&lt;&gt;"",'[1]Leakage Tree Data'!Q79,"")</f>
      </c>
      <c s="72">
        <f>IF('[1]Leakage Tree Data'!R79&lt;&gt;"",'[1]Leakage Tree Data'!R79,"")</f>
        <v>1017625.85098267</v>
      </c>
      <c s="72">
        <f>IF('[1]Leakage Tree Data'!S79&lt;&gt;"",'[1]Leakage Tree Data'!S79,"")</f>
        <v>-119278.275817871</v>
      </c>
      <c s="72">
        <f>IF('[1]Leakage Tree Data'!T79&lt;&gt;"",'[1]Leakage Tree Data'!T79,"")</f>
        <v>-0.187242218533939</v>
      </c>
      <c s="72">
        <f>IF('[1]Leakage Tree Data'!U79&lt;&gt;"",'[1]Leakage Tree Data'!U79,"")</f>
        <v>1136904.12680054</v>
      </c>
      <c s="72">
        <f>IF('[1]Leakage Tree Data'!V79&lt;&gt;"",'[1]Leakage Tree Data'!V79,"")</f>
        <v>0.187242218533953</v>
      </c>
      <c s="72">
        <f>IF('[1]Leakage Tree Data'!W79&lt;&gt;"",'[1]Leakage Tree Data'!W79,"")</f>
        <v>-1855949.2237854</v>
      </c>
      <c s="72">
        <f>IF('[1]Leakage Tree Data'!X79&lt;&gt;"",'[1]Leakage Tree Data'!X79,"")</f>
      </c>
      <c s="72">
        <f>IF('[1]Leakage Tree Data'!Y79&lt;&gt;"",'[1]Leakage Tree Data'!Y79,"")</f>
        <v>0.739950771290538</v>
      </c>
      <c s="72">
        <f>IF('[1]Leakage Tree Data'!Z79&lt;&gt;"",'[1]Leakage Tree Data'!Z79,"")</f>
        <v>-522382.782104492</v>
      </c>
      <c s="72">
        <f>IF('[1]Leakage Tree Data'!AA79&lt;&gt;"",'[1]Leakage Tree Data'!AA79,"")</f>
        <v>-3755937.1738205</v>
      </c>
      <c s="72">
        <f>IF('[1]Leakage Tree Data'!AB79&lt;&gt;"",'[1]Leakage Tree Data'!AB79,"")</f>
        <v>-8661259.76702499</v>
      </c>
      <c s="72">
        <f>IF('[1]Leakage Tree Data'!AC79&lt;&gt;"",'[1]Leakage Tree Data'!AC79,"")</f>
        <v>-3755937.1738205</v>
      </c>
      <c s="72">
        <f>IF('[1]Leakage Tree Data'!AD79&lt;&gt;"",'[1]Leakage Tree Data'!AD79,"")</f>
        <v>-4.81332910260542</v>
      </c>
      <c s="72">
        <f>IF('[1]Leakage Tree Data'!AE79&lt;&gt;"",'[1]Leakage Tree Data'!AE79,"")</f>
      </c>
      <c s="73">
        <f t="shared" si="21"/>
      </c>
      <c s="73">
        <f t="shared" si="22"/>
      </c>
      <c s="73">
        <f t="shared" si="23"/>
      </c>
      <c s="73">
        <f t="shared" si="24"/>
      </c>
      <c s="74">
        <f t="shared" si="25"/>
      </c>
      <c s="74">
        <f t="shared" si="26"/>
      </c>
      <c s="69" t="str">
        <f t="shared" si="17"/>
        <v>Total US - Safeway</v>
      </c>
      <c s="69" t="str">
        <f t="shared" si="18"/>
        <v>Total US - GroceryX</v>
      </c>
      <c s="77"/>
    </row>
    <row r="181" spans="1:141" ht="15">
      <c r="A18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181,$AL$8:$AL$15,1,FALSE))=TRUE,IF(AND(CV181=CW181,CV181&lt;&gt;"",DI$111&lt;&gt;"",DK181&lt;&gt;""),IF(CW$101="Y",DK181-IF(ISERROR(VLOOKUP(CV181,$CA$113:$DK$300,37,FALSE))=TRUE,0,IF(VLOOKUP(CV181,$CA$113:$DK$300,37,FALSE)="",0,VLOOKUP(CV181,$CA$113:$DK$300,37,FALSE))),DK181-IF(AND(CW$102="Y",CV181=$CW$111),DI$111,0)),""),"")</f>
      </c>
      <c s="76">
        <f>IF(ISERROR(VLOOKUP(CV181,$AL$8:$AL$15,1,FALSE))=TRUE,IF(CB181&lt;&gt;"",IF(CB181&gt;0,IF(Z$4&lt;&gt;"",MIN(4,RANK(CB181,$CB$111:$CB$300)),RANK(CB181,$CB$111:$CB$300)),""),""),"")</f>
      </c>
      <c s="75">
        <f>IF(ISERROR(VLOOKUP(CV181,$AL$8:$AL$15,1,FALSE))=TRUE,IF(AND(ISERROR(FIND("NeighMkt",$CX$102))=FALSE,LEFT($CW$111,10)="ALL OUTLET",$CA181&lt;&gt;"",DK181&lt;&gt;""),"",IF(AND($CV181&lt;&gt;$CW181,$CW181=CD$110),$DK181,"")),"")</f>
      </c>
      <c s="76">
        <f>IF(ISERROR(VLOOKUP(CV181,$AL$8:$AL$15,1,FALSE))=TRUE,IF(CD181&lt;&gt;"",IF(CD181&gt;0,RANK(CD181,$CD$111:$CD$300),""),""),"")</f>
      </c>
      <c s="75">
        <f>IF(ISERROR(VLOOKUP(CV181,$AL$8:$AL$15,1,FALSE))=TRUE,IF(AND(ISERROR(FIND("NeighMkt",$CX$102))=FALSE,LEFT($CW$111,10)="ALL OUTLET",$CA181&lt;&gt;"",DK181&lt;&gt;""),"",IF(AND($CV181&lt;&gt;$CW181,$CW181=CF$110),$DK181,"")),"")</f>
      </c>
      <c s="76">
        <f>IF(ISERROR(VLOOKUP(CV181,$AL$8:$AL$15,1,FALSE))=TRUE,IF(CF181&lt;&gt;"",IF(CF181&gt;0,RANK(CF181,$CF$111:$CF$300),""),""),"")</f>
      </c>
      <c s="75">
        <f>IF(ISERROR(VLOOKUP(CV181,$AL$8:$AL$15,1,FALSE))=TRUE,IF(AND(ISERROR(FIND("NeighMkt",$CX$102))=FALSE,LEFT($CW$111,10)="ALL OUTLET",$CA181&lt;&gt;"",DK181&lt;&gt;""),"",IF(AND($CV181&lt;&gt;$CW181,$CW181=CH$110),$DK181,"")),"")</f>
      </c>
      <c s="76">
        <f>IF(ISERROR(VLOOKUP(CV181,$AL$8:$AL$15,1,FALSE))=TRUE,IF(CH181&lt;&gt;"",IF(CH181&gt;0,RANK(CH181,$CH$111:$CH$300),""),""),"")</f>
      </c>
      <c s="75">
        <f>IF(ISERROR(VLOOKUP(CV181,$AL$8:$AL$15,1,FALSE))=TRUE,IF(AND(ISERROR(FIND("NeighMkt",$CX$102))=FALSE,LEFT($CW$111,10)="ALL OUTLET",$CA181&lt;&gt;"",DK181&lt;&gt;""),"",IF($Z$4="",IF(AND($CV181&lt;&gt;$CW181,$CW181=CJ$110),$DK181,""),IF(AND($CV181&lt;&gt;$CW181,$CW181&lt;&gt;CD$110,$CW181&lt;&gt;CF$110,$CW181&lt;&gt;CH$110,$CW181&lt;&gt;$CV$111),$DK181,""))),"")</f>
      </c>
      <c s="76">
        <f>IF(ISERROR(VLOOKUP(CV181,$AL$8:$AL$15,1,FALSE))=TRUE,IF(CJ181&lt;&gt;"",IF(CJ181&gt;0,RANK(CJ181,$CJ$111:$CJ$300),""),""),"")</f>
      </c>
      <c s="75">
        <f>IF(ISERROR(VLOOKUP(CV181,$AL$8:$AL$15,1,FALSE))=TRUE,IF(AND(CV181=CW181,CV181&lt;&gt;"",DJ181&lt;&gt;""),IF(AND(ISERROR(FIND("NeighMkt",$CX$102))=FALSE,LEFT($CW$111,10)="ALL OUTLET"),DJ181-IF(ISERROR(VLOOKUP(CV181,$CA$113:$DK$300,36,FALSE))=TRUE,0,IF(VLOOKUP(CV181,$CA$113:$DK$300,36,FALSE)="",0,VLOOKUP(CV181,$CA$113:$DK$300,36,FALSE))),DJ181),""),"")</f>
      </c>
      <c s="76">
        <f>IF(ISERROR(VLOOKUP(CV181,$AL$8:$AL$15,1,FALSE))=TRUE,IF(CL181&lt;&gt;"",IF(CL181&gt;0,IF($Z$4&lt;&gt;"",MIN(4,RANK(CL181,$CL$111:$CL$300)),RANK(CL181,$CL$111:$CL$300)),""),""),"")</f>
      </c>
      <c s="75">
        <f>IF(ISERROR(VLOOKUP(CV181,$AL$8:$AL$15,1,FALSE))=TRUE,IF(AND(ISERROR(FIND("NeighMkt",$CX$102))=FALSE,LEFT($CW$111,10)="ALL OUTLET",$CA181&lt;&gt;"",DJ181&lt;&gt;""),"",IF(AND($CV181&lt;&gt;$CW181,$CW181=CN$110),$DJ181,"")),"")</f>
        <v>786723.850179672</v>
      </c>
      <c s="76">
        <f>IF(ISERROR(VLOOKUP(CV181,$AL$8:$AL$15,1,FALSE))=TRUE,IF(CN181&lt;&gt;"",IF(CN181&gt;0,RANK(CN181,$CN$111:$CN$300),""),""),"")</f>
        <v>53</v>
      </c>
      <c s="75">
        <f>IF(ISERROR(VLOOKUP(CV181,$AL$8:$AL$15,1,FALSE))=TRUE,IF(AND(ISERROR(FIND("NeighMkt",$CX$102))=FALSE,LEFT($CW$111,10)="ALL OUTLET",$CA181&lt;&gt;"",DJ181&lt;&gt;""),"",IF(AND($CV181&lt;&gt;$CW181,$CW181=CP$110),$DJ181,"")),"")</f>
      </c>
      <c s="76">
        <f>IF(ISERROR(VLOOKUP(CV181,$AL$8:$AL$15,1,FALSE))=TRUE,IF(CP181&lt;&gt;"",IF(CP181&gt;0,RANK(CP181,$CP$111:$CP$300),""),""),"")</f>
      </c>
      <c s="75">
        <f>IF(ISERROR(VLOOKUP(CV181,$AL$8:$AL$15,1,FALSE))=TRUE,IF(AND(ISERROR(FIND("NeighMkt",$CX$102))=FALSE,LEFT($CW$111,10)="ALL OUTLET",$CA181&lt;&gt;"",DJ181&lt;&gt;""),"",IF(AND($CV181&lt;&gt;$CW181,$CW181=CR$110),$DJ181,"")),"")</f>
      </c>
      <c s="76">
        <f>IF(ISERROR(VLOOKUP(CV181,$AL$8:$AL$15,1,FALSE))=TRUE,IF(CR181&lt;&gt;"",IF(CR181&gt;0,RANK(CR181,$CR$111:$CR$300),""),""),"")</f>
      </c>
      <c s="75">
        <f>IF(ISERROR(VLOOKUP(CV181,$AL$8:$AL$15,1,FALSE))=TRUE,IF(AND(ISERROR(FIND("NeighMkt",$CX$102))=FALSE,LEFT($CW$111,10)="ALL OUTLET",$CA181&lt;&gt;"",DJ181&lt;&gt;""),"",IF($Z$4="",IF(AND($CV181&lt;&gt;$CW181,$CW181=CT$110),$DJ181,""),IF(AND($CV181&lt;&gt;$CW181,$CW181&lt;&gt;CN$110,$CW181&lt;&gt;CP$110,$CW181&lt;&gt;CR$110,$CW181&lt;&gt;$CV$111),$DJ181,""))),"")</f>
      </c>
      <c s="76">
        <f>IF(ISERROR(VLOOKUP(CV181,$AL$8:$AL$15,1,FALSE))=TRUE,IF(CT181&lt;&gt;"",IF(CT181&gt;0,RANK(CT181,$CT$111:$CT$300),""),""),"")</f>
      </c>
      <c s="65" t="str">
        <f t="shared" si="19"/>
        <v>Save A Lot</v>
      </c>
      <c s="65" t="str">
        <f t="shared" si="20"/>
        <v>GroceryX</v>
      </c>
      <c s="72" t="str">
        <f>IF('[1]Leakage Tree Data'!A80&lt;&gt;"",'[1]Leakage Tree Data'!A80,"")</f>
        <v>Total US - Save A Lot</v>
      </c>
      <c s="72" t="str">
        <f>IF('[1]Leakage Tree Data'!B80&lt;&gt;"",'[1]Leakage Tree Data'!B80,"")</f>
        <v>Total US - GroceryX</v>
      </c>
      <c s="72">
        <f>IF('[1]Leakage Tree Data'!C80&lt;&gt;"",'[1]Leakage Tree Data'!C80,"")</f>
        <v>121171760.292236</v>
      </c>
      <c s="72">
        <f>IF('[1]Leakage Tree Data'!D80&lt;&gt;"",'[1]Leakage Tree Data'!D80,"")</f>
        <v>9656065.7350769</v>
      </c>
      <c s="72">
        <f>IF('[1]Leakage Tree Data'!E80&lt;&gt;"",'[1]Leakage Tree Data'!E80,"")</f>
        <v>7.96890769911146</v>
      </c>
      <c s="72">
        <f>IF('[1]Leakage Tree Data'!F80&lt;&gt;"",'[1]Leakage Tree Data'!F80,"")</f>
        <v>111515694.557159</v>
      </c>
      <c s="72">
        <f>IF('[1]Leakage Tree Data'!G80&lt;&gt;"",'[1]Leakage Tree Data'!G80,"")</f>
        <v>92.0310923008885</v>
      </c>
      <c s="72">
        <f>IF('[1]Leakage Tree Data'!H80&lt;&gt;"",'[1]Leakage Tree Data'!H80,"")</f>
        <v>61518209.9918823</v>
      </c>
      <c s="72" t="str">
        <f>IF('[1]Leakage Tree Data'!I80&lt;&gt;"",'[1]Leakage Tree Data'!I80,"")</f>
        <v>GroceryX</v>
      </c>
      <c s="72">
        <f>IF('[1]Leakage Tree Data'!J80&lt;&gt;"",'[1]Leakage Tree Data'!J80,"")</f>
        <v>99.8240433754526</v>
      </c>
      <c s="72">
        <f>IF('[1]Leakage Tree Data'!K80&lt;&gt;"",'[1]Leakage Tree Data'!K80,"")</f>
        <v>108245.365783691</v>
      </c>
      <c s="72">
        <f>IF('[1]Leakage Tree Data'!L80&lt;&gt;"",'[1]Leakage Tree Data'!L80,"")</f>
      </c>
      <c s="72">
        <f>IF('[1]Leakage Tree Data'!M80&lt;&gt;"",'[1]Leakage Tree Data'!M80,"")</f>
        <v>786723.850179672</v>
      </c>
      <c s="72">
        <f>IF('[1]Leakage Tree Data'!N80&lt;&gt;"",'[1]Leakage Tree Data'!N80,"")</f>
      </c>
      <c s="72">
        <f>IF('[1]Leakage Tree Data'!O80&lt;&gt;"",'[1]Leakage Tree Data'!O80,"")</f>
        <v>4.12523863455452</v>
      </c>
      <c s="72">
        <f>IF('[1]Leakage Tree Data'!P80&lt;&gt;"",'[1]Leakage Tree Data'!P80,"")</f>
        <v>646540.493421333</v>
      </c>
      <c s="72">
        <f>IF('[1]Leakage Tree Data'!Q80&lt;&gt;"",'[1]Leakage Tree Data'!Q80,"")</f>
      </c>
      <c s="72">
        <f>IF('[1]Leakage Tree Data'!R80&lt;&gt;"",'[1]Leakage Tree Data'!R80,"")</f>
        <v>1017625.85098267</v>
      </c>
      <c s="72">
        <f>IF('[1]Leakage Tree Data'!S80&lt;&gt;"",'[1]Leakage Tree Data'!S80,"")</f>
        <v>-327154.642059326</v>
      </c>
      <c s="72">
        <f>IF('[1]Leakage Tree Data'!T80&lt;&gt;"",'[1]Leakage Tree Data'!T80,"")</f>
        <v>-0.339770502900203</v>
      </c>
      <c s="72">
        <f>IF('[1]Leakage Tree Data'!U80&lt;&gt;"",'[1]Leakage Tree Data'!U80,"")</f>
        <v>1344780.49304199</v>
      </c>
      <c s="72">
        <f>IF('[1]Leakage Tree Data'!V80&lt;&gt;"",'[1]Leakage Tree Data'!V80,"")</f>
        <v>0.339770502900208</v>
      </c>
      <c s="72">
        <f>IF('[1]Leakage Tree Data'!W80&lt;&gt;"",'[1]Leakage Tree Data'!W80,"")</f>
        <v>-1855949.2237854</v>
      </c>
      <c s="72">
        <f>IF('[1]Leakage Tree Data'!X80&lt;&gt;"",'[1]Leakage Tree Data'!X80,"")</f>
      </c>
      <c s="72">
        <f>IF('[1]Leakage Tree Data'!Y80&lt;&gt;"",'[1]Leakage Tree Data'!Y80,"")</f>
        <v>0.106503554339696</v>
      </c>
      <c s="72">
        <f>IF('[1]Leakage Tree Data'!Z80&lt;&gt;"",'[1]Leakage Tree Data'!Z80,"")</f>
        <v>-70761.3977050781</v>
      </c>
      <c s="72">
        <f>IF('[1]Leakage Tree Data'!AA80&lt;&gt;"",'[1]Leakage Tree Data'!AA80,"")</f>
      </c>
      <c s="72">
        <f>IF('[1]Leakage Tree Data'!AB80&lt;&gt;"",'[1]Leakage Tree Data'!AB80,"")</f>
        <v>-268566.741083145</v>
      </c>
      <c s="72">
        <f>IF('[1]Leakage Tree Data'!AC80&lt;&gt;"",'[1]Leakage Tree Data'!AC80,"")</f>
      </c>
      <c s="72">
        <f>IF('[1]Leakage Tree Data'!AD80&lt;&gt;"",'[1]Leakage Tree Data'!AD80,"")</f>
        <v>-1.73669888507386</v>
      </c>
      <c s="72">
        <f>IF('[1]Leakage Tree Data'!AE80&lt;&gt;"",'[1]Leakage Tree Data'!AE80,"")</f>
      </c>
      <c s="73">
        <f t="shared" si="21"/>
      </c>
      <c s="73">
        <f t="shared" si="22"/>
      </c>
      <c s="73">
        <f t="shared" si="23"/>
      </c>
      <c s="73">
        <f t="shared" si="24"/>
      </c>
      <c s="74">
        <f t="shared" si="25"/>
      </c>
      <c s="74">
        <f t="shared" si="26"/>
      </c>
      <c s="69" t="str">
        <f t="shared" si="17"/>
        <v>Total US - Save A Lot</v>
      </c>
      <c s="69" t="str">
        <f t="shared" si="18"/>
        <v>Total US - GroceryX</v>
      </c>
      <c s="77"/>
    </row>
    <row r="182" spans="1:141" ht="15">
      <c r="A18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182,$AL$8:$AL$15,1,FALSE))=TRUE,IF(AND(CV182=CW182,CV182&lt;&gt;"",DI$111&lt;&gt;"",DK182&lt;&gt;""),IF(CW$101="Y",DK182-IF(ISERROR(VLOOKUP(CV182,$CA$113:$DK$300,37,FALSE))=TRUE,0,IF(VLOOKUP(CV182,$CA$113:$DK$300,37,FALSE)="",0,VLOOKUP(CV182,$CA$113:$DK$300,37,FALSE))),DK182-IF(AND(CW$102="Y",CV182=$CW$111),DI$111,0)),""),"")</f>
      </c>
      <c s="76">
        <f>IF(ISERROR(VLOOKUP(CV182,$AL$8:$AL$15,1,FALSE))=TRUE,IF(CB182&lt;&gt;"",IF(CB182&gt;0,IF(Z$4&lt;&gt;"",MIN(4,RANK(CB182,$CB$111:$CB$300)),RANK(CB182,$CB$111:$CB$300)),""),""),"")</f>
      </c>
      <c s="75">
        <f>IF(ISERROR(VLOOKUP(CV182,$AL$8:$AL$15,1,FALSE))=TRUE,IF(AND(ISERROR(FIND("NeighMkt",$CX$102))=FALSE,LEFT($CW$111,10)="ALL OUTLET",$CA182&lt;&gt;"",DK182&lt;&gt;""),"",IF(AND($CV182&lt;&gt;$CW182,$CW182=CD$110),$DK182,"")),"")</f>
      </c>
      <c s="76">
        <f>IF(ISERROR(VLOOKUP(CV182,$AL$8:$AL$15,1,FALSE))=TRUE,IF(CD182&lt;&gt;"",IF(CD182&gt;0,RANK(CD182,$CD$111:$CD$300),""),""),"")</f>
      </c>
      <c s="75">
        <f>IF(ISERROR(VLOOKUP(CV182,$AL$8:$AL$15,1,FALSE))=TRUE,IF(AND(ISERROR(FIND("NeighMkt",$CX$102))=FALSE,LEFT($CW$111,10)="ALL OUTLET",$CA182&lt;&gt;"",DK182&lt;&gt;""),"",IF(AND($CV182&lt;&gt;$CW182,$CW182=CF$110),$DK182,"")),"")</f>
      </c>
      <c s="76">
        <f>IF(ISERROR(VLOOKUP(CV182,$AL$8:$AL$15,1,FALSE))=TRUE,IF(CF182&lt;&gt;"",IF(CF182&gt;0,RANK(CF182,$CF$111:$CF$300),""),""),"")</f>
      </c>
      <c s="75">
        <f>IF(ISERROR(VLOOKUP(CV182,$AL$8:$AL$15,1,FALSE))=TRUE,IF(AND(ISERROR(FIND("NeighMkt",$CX$102))=FALSE,LEFT($CW$111,10)="ALL OUTLET",$CA182&lt;&gt;"",DK182&lt;&gt;""),"",IF(AND($CV182&lt;&gt;$CW182,$CW182=CH$110),$DK182,"")),"")</f>
      </c>
      <c s="76">
        <f>IF(ISERROR(VLOOKUP(CV182,$AL$8:$AL$15,1,FALSE))=TRUE,IF(CH182&lt;&gt;"",IF(CH182&gt;0,RANK(CH182,$CH$111:$CH$300),""),""),"")</f>
      </c>
      <c s="75">
        <f>IF(ISERROR(VLOOKUP(CV182,$AL$8:$AL$15,1,FALSE))=TRUE,IF(AND(ISERROR(FIND("NeighMkt",$CX$102))=FALSE,LEFT($CW$111,10)="ALL OUTLET",$CA182&lt;&gt;"",DK182&lt;&gt;""),"",IF($Z$4="",IF(AND($CV182&lt;&gt;$CW182,$CW182=CJ$110),$DK182,""),IF(AND($CV182&lt;&gt;$CW182,$CW182&lt;&gt;CD$110,$CW182&lt;&gt;CF$110,$CW182&lt;&gt;CH$110,$CW182&lt;&gt;$CV$111),$DK182,""))),"")</f>
      </c>
      <c s="76">
        <f>IF(ISERROR(VLOOKUP(CV182,$AL$8:$AL$15,1,FALSE))=TRUE,IF(CJ182&lt;&gt;"",IF(CJ182&gt;0,RANK(CJ182,$CJ$111:$CJ$300),""),""),"")</f>
      </c>
      <c s="75">
        <f>IF(ISERROR(VLOOKUP(CV182,$AL$8:$AL$15,1,FALSE))=TRUE,IF(AND(CV182=CW182,CV182&lt;&gt;"",DJ182&lt;&gt;""),IF(AND(ISERROR(FIND("NeighMkt",$CX$102))=FALSE,LEFT($CW$111,10)="ALL OUTLET"),DJ182-IF(ISERROR(VLOOKUP(CV182,$CA$113:$DK$300,36,FALSE))=TRUE,0,IF(VLOOKUP(CV182,$CA$113:$DK$300,36,FALSE)="",0,VLOOKUP(CV182,$CA$113:$DK$300,36,FALSE))),DJ182),""),"")</f>
      </c>
      <c s="76">
        <f>IF(ISERROR(VLOOKUP(CV182,$AL$8:$AL$15,1,FALSE))=TRUE,IF(CL182&lt;&gt;"",IF(CL182&gt;0,IF($Z$4&lt;&gt;"",MIN(4,RANK(CL182,$CL$111:$CL$300)),RANK(CL182,$CL$111:$CL$300)),""),""),"")</f>
      </c>
      <c s="75">
        <f>IF(ISERROR(VLOOKUP(CV182,$AL$8:$AL$15,1,FALSE))=TRUE,IF(AND(ISERROR(FIND("NeighMkt",$CX$102))=FALSE,LEFT($CW$111,10)="ALL OUTLET",$CA182&lt;&gt;"",DJ182&lt;&gt;""),"",IF(AND($CV182&lt;&gt;$CW182,$CW182=CN$110),$DJ182,"")),"")</f>
      </c>
      <c s="76">
        <f>IF(ISERROR(VLOOKUP(CV182,$AL$8:$AL$15,1,FALSE))=TRUE,IF(CN182&lt;&gt;"",IF(CN182&gt;0,RANK(CN182,$CN$111:$CN$300),""),""),"")</f>
      </c>
      <c s="75">
        <f>IF(ISERROR(VLOOKUP(CV182,$AL$8:$AL$15,1,FALSE))=TRUE,IF(AND(ISERROR(FIND("NeighMkt",$CX$102))=FALSE,LEFT($CW$111,10)="ALL OUTLET",$CA182&lt;&gt;"",DJ182&lt;&gt;""),"",IF(AND($CV182&lt;&gt;$CW182,$CW182=CP$110),$DJ182,"")),"")</f>
      </c>
      <c s="76">
        <f>IF(ISERROR(VLOOKUP(CV182,$AL$8:$AL$15,1,FALSE))=TRUE,IF(CP182&lt;&gt;"",IF(CP182&gt;0,RANK(CP182,$CP$111:$CP$300),""),""),"")</f>
      </c>
      <c s="75">
        <f>IF(ISERROR(VLOOKUP(CV182,$AL$8:$AL$15,1,FALSE))=TRUE,IF(AND(ISERROR(FIND("NeighMkt",$CX$102))=FALSE,LEFT($CW$111,10)="ALL OUTLET",$CA182&lt;&gt;"",DJ182&lt;&gt;""),"",IF(AND($CV182&lt;&gt;$CW182,$CW182=CR$110),$DJ182,"")),"")</f>
      </c>
      <c s="76">
        <f>IF(ISERROR(VLOOKUP(CV182,$AL$8:$AL$15,1,FALSE))=TRUE,IF(CR182&lt;&gt;"",IF(CR182&gt;0,RANK(CR182,$CR$111:$CR$300),""),""),"")</f>
      </c>
      <c s="75">
        <f>IF(ISERROR(VLOOKUP(CV182,$AL$8:$AL$15,1,FALSE))=TRUE,IF(AND(ISERROR(FIND("NeighMkt",$CX$102))=FALSE,LEFT($CW$111,10)="ALL OUTLET",$CA182&lt;&gt;"",DJ182&lt;&gt;""),"",IF($Z$4="",IF(AND($CV182&lt;&gt;$CW182,$CW182=CT$110),$DJ182,""),IF(AND($CV182&lt;&gt;$CW182,$CW182&lt;&gt;CN$110,$CW182&lt;&gt;CP$110,$CW182&lt;&gt;CR$110,$CW182&lt;&gt;$CV$111),$DJ182,""))),"")</f>
      </c>
      <c s="76">
        <f>IF(ISERROR(VLOOKUP(CV182,$AL$8:$AL$15,1,FALSE))=TRUE,IF(CT182&lt;&gt;"",IF(CT182&gt;0,RANK(CT182,$CT$111:$CT$300),""),""),"")</f>
      </c>
      <c s="65" t="str">
        <f t="shared" si="19"/>
        <v>Save Mart</v>
      </c>
      <c s="65" t="str">
        <f t="shared" si="20"/>
        <v>GroceryX</v>
      </c>
      <c s="72" t="str">
        <f>IF('[1]Leakage Tree Data'!A81&lt;&gt;"",'[1]Leakage Tree Data'!A81,"")</f>
        <v>Total US - Save Mart</v>
      </c>
      <c s="72" t="str">
        <f>IF('[1]Leakage Tree Data'!B81&lt;&gt;"",'[1]Leakage Tree Data'!B81,"")</f>
        <v>Total US - GroceryX</v>
      </c>
      <c s="72">
        <f>IF('[1]Leakage Tree Data'!C81&lt;&gt;"",'[1]Leakage Tree Data'!C81,"")</f>
        <v>121171760.292236</v>
      </c>
      <c s="72">
        <f>IF('[1]Leakage Tree Data'!D81&lt;&gt;"",'[1]Leakage Tree Data'!D81,"")</f>
        <v>1499834.51635742</v>
      </c>
      <c s="72">
        <f>IF('[1]Leakage Tree Data'!E81&lt;&gt;"",'[1]Leakage Tree Data'!E81,"")</f>
        <v>1.23777562753912</v>
      </c>
      <c s="72">
        <f>IF('[1]Leakage Tree Data'!F81&lt;&gt;"",'[1]Leakage Tree Data'!F81,"")</f>
        <v>119671925.775879</v>
      </c>
      <c s="72">
        <f>IF('[1]Leakage Tree Data'!G81&lt;&gt;"",'[1]Leakage Tree Data'!G81,"")</f>
        <v>98.7622243724609</v>
      </c>
      <c s="72">
        <f>IF('[1]Leakage Tree Data'!H81&lt;&gt;"",'[1]Leakage Tree Data'!H81,"")</f>
        <v>61518209.9918823</v>
      </c>
      <c s="72" t="str">
        <f>IF('[1]Leakage Tree Data'!I81&lt;&gt;"",'[1]Leakage Tree Data'!I81,"")</f>
        <v>GroceryX</v>
      </c>
      <c s="72">
        <f>IF('[1]Leakage Tree Data'!J81&lt;&gt;"",'[1]Leakage Tree Data'!J81,"")</f>
        <v>99.8034286472782</v>
      </c>
      <c s="72">
        <f>IF('[1]Leakage Tree Data'!K81&lt;&gt;"",'[1]Leakage Tree Data'!K81,"")</f>
        <v>120927.17755127</v>
      </c>
      <c s="72">
        <f>IF('[1]Leakage Tree Data'!L81&lt;&gt;"",'[1]Leakage Tree Data'!L81,"")</f>
      </c>
      <c s="72">
        <f>IF('[1]Leakage Tree Data'!M81&lt;&gt;"",'[1]Leakage Tree Data'!M81,"")</f>
      </c>
      <c s="72">
        <f>IF('[1]Leakage Tree Data'!N81&lt;&gt;"",'[1]Leakage Tree Data'!N81,"")</f>
      </c>
      <c s="72">
        <f>IF('[1]Leakage Tree Data'!O81&lt;&gt;"",'[1]Leakage Tree Data'!O81,"")</f>
        <v>13.1057994736243</v>
      </c>
      <c s="72">
        <f>IF('[1]Leakage Tree Data'!P81&lt;&gt;"",'[1]Leakage Tree Data'!P81,"")</f>
        <v>293702.846454759</v>
      </c>
      <c s="72">
        <f>IF('[1]Leakage Tree Data'!Q81&lt;&gt;"",'[1]Leakage Tree Data'!Q81,"")</f>
      </c>
      <c s="72">
        <f>IF('[1]Leakage Tree Data'!R81&lt;&gt;"",'[1]Leakage Tree Data'!R81,"")</f>
        <v>1017625.85098267</v>
      </c>
      <c s="72">
        <f>IF('[1]Leakage Tree Data'!S81&lt;&gt;"",'[1]Leakage Tree Data'!S81,"")</f>
        <v>-28431.8113708496</v>
      </c>
      <c s="72">
        <f>IF('[1]Leakage Tree Data'!T81&lt;&gt;"",'[1]Leakage Tree Data'!T81,"")</f>
        <v>-0.0341459212574244</v>
      </c>
      <c s="72">
        <f>IF('[1]Leakage Tree Data'!U81&lt;&gt;"",'[1]Leakage Tree Data'!U81,"")</f>
        <v>1046057.66235352</v>
      </c>
      <c s="72">
        <f>IF('[1]Leakage Tree Data'!V81&lt;&gt;"",'[1]Leakage Tree Data'!V81,"")</f>
        <v>0.0341459212574193</v>
      </c>
      <c s="72">
        <f>IF('[1]Leakage Tree Data'!W81&lt;&gt;"",'[1]Leakage Tree Data'!W81,"")</f>
        <v>-1855949.2237854</v>
      </c>
      <c s="72">
        <f>IF('[1]Leakage Tree Data'!X81&lt;&gt;"",'[1]Leakage Tree Data'!X81,"")</f>
      </c>
      <c s="72">
        <f>IF('[1]Leakage Tree Data'!Y81&lt;&gt;"",'[1]Leakage Tree Data'!Y81,"")</f>
        <v>0.104585806486313</v>
      </c>
      <c s="72">
        <f>IF('[1]Leakage Tree Data'!Z81&lt;&gt;"",'[1]Leakage Tree Data'!Z81,"")</f>
        <v>-69928.6400146484</v>
      </c>
      <c s="72">
        <f>IF('[1]Leakage Tree Data'!AA81&lt;&gt;"",'[1]Leakage Tree Data'!AA81,"")</f>
      </c>
      <c s="72">
        <f>IF('[1]Leakage Tree Data'!AB81&lt;&gt;"",'[1]Leakage Tree Data'!AB81,"")</f>
      </c>
      <c s="72">
        <f>IF('[1]Leakage Tree Data'!AC81&lt;&gt;"",'[1]Leakage Tree Data'!AC81,"")</f>
      </c>
      <c s="72">
        <f>IF('[1]Leakage Tree Data'!AD81&lt;&gt;"",'[1]Leakage Tree Data'!AD81,"")</f>
        <v>-3.68512111845875</v>
      </c>
      <c s="72">
        <f>IF('[1]Leakage Tree Data'!AE81&lt;&gt;"",'[1]Leakage Tree Data'!AE81,"")</f>
      </c>
      <c s="73">
        <f t="shared" si="21"/>
      </c>
      <c s="73">
        <f t="shared" si="22"/>
      </c>
      <c s="73">
        <f t="shared" si="23"/>
      </c>
      <c s="73">
        <f t="shared" si="24"/>
      </c>
      <c s="74">
        <f t="shared" si="25"/>
      </c>
      <c s="74">
        <f t="shared" si="26"/>
      </c>
      <c s="69" t="str">
        <f t="shared" si="17"/>
        <v>Total US - Save Mart</v>
      </c>
      <c s="69" t="str">
        <f t="shared" si="18"/>
        <v>Total US - GroceryX</v>
      </c>
      <c s="77"/>
    </row>
    <row r="183" spans="1:141" ht="15">
      <c r="A18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183,$AL$8:$AL$15,1,FALSE))=TRUE,IF(AND(CV183=CW183,CV183&lt;&gt;"",DI$111&lt;&gt;"",DK183&lt;&gt;""),IF(CW$101="Y",DK183-IF(ISERROR(VLOOKUP(CV183,$CA$113:$DK$300,37,FALSE))=TRUE,0,IF(VLOOKUP(CV183,$CA$113:$DK$300,37,FALSE)="",0,VLOOKUP(CV183,$CA$113:$DK$300,37,FALSE))),DK183-IF(AND(CW$102="Y",CV183=$CW$111),DI$111,0)),""),"")</f>
      </c>
      <c s="76">
        <f>IF(ISERROR(VLOOKUP(CV183,$AL$8:$AL$15,1,FALSE))=TRUE,IF(CB183&lt;&gt;"",IF(CB183&gt;0,IF(Z$4&lt;&gt;"",MIN(4,RANK(CB183,$CB$111:$CB$300)),RANK(CB183,$CB$111:$CB$300)),""),""),"")</f>
      </c>
      <c s="75">
        <f>IF(ISERROR(VLOOKUP(CV183,$AL$8:$AL$15,1,FALSE))=TRUE,IF(AND(ISERROR(FIND("NeighMkt",$CX$102))=FALSE,LEFT($CW$111,10)="ALL OUTLET",$CA183&lt;&gt;"",DK183&lt;&gt;""),"",IF(AND($CV183&lt;&gt;$CW183,$CW183=CD$110),$DK183,"")),"")</f>
      </c>
      <c s="76">
        <f>IF(ISERROR(VLOOKUP(CV183,$AL$8:$AL$15,1,FALSE))=TRUE,IF(CD183&lt;&gt;"",IF(CD183&gt;0,RANK(CD183,$CD$111:$CD$300),""),""),"")</f>
      </c>
      <c s="75">
        <f>IF(ISERROR(VLOOKUP(CV183,$AL$8:$AL$15,1,FALSE))=TRUE,IF(AND(ISERROR(FIND("NeighMkt",$CX$102))=FALSE,LEFT($CW$111,10)="ALL OUTLET",$CA183&lt;&gt;"",DK183&lt;&gt;""),"",IF(AND($CV183&lt;&gt;$CW183,$CW183=CF$110),$DK183,"")),"")</f>
      </c>
      <c s="76">
        <f>IF(ISERROR(VLOOKUP(CV183,$AL$8:$AL$15,1,FALSE))=TRUE,IF(CF183&lt;&gt;"",IF(CF183&gt;0,RANK(CF183,$CF$111:$CF$300),""),""),"")</f>
      </c>
      <c s="75">
        <f>IF(ISERROR(VLOOKUP(CV183,$AL$8:$AL$15,1,FALSE))=TRUE,IF(AND(ISERROR(FIND("NeighMkt",$CX$102))=FALSE,LEFT($CW$111,10)="ALL OUTLET",$CA183&lt;&gt;"",DK183&lt;&gt;""),"",IF(AND($CV183&lt;&gt;$CW183,$CW183=CH$110),$DK183,"")),"")</f>
      </c>
      <c s="76">
        <f>IF(ISERROR(VLOOKUP(CV183,$AL$8:$AL$15,1,FALSE))=TRUE,IF(CH183&lt;&gt;"",IF(CH183&gt;0,RANK(CH183,$CH$111:$CH$300),""),""),"")</f>
      </c>
      <c s="75">
        <f>IF(ISERROR(VLOOKUP(CV183,$AL$8:$AL$15,1,FALSE))=TRUE,IF(AND(ISERROR(FIND("NeighMkt",$CX$102))=FALSE,LEFT($CW$111,10)="ALL OUTLET",$CA183&lt;&gt;"",DK183&lt;&gt;""),"",IF($Z$4="",IF(AND($CV183&lt;&gt;$CW183,$CW183=CJ$110),$DK183,""),IF(AND($CV183&lt;&gt;$CW183,$CW183&lt;&gt;CD$110,$CW183&lt;&gt;CF$110,$CW183&lt;&gt;CH$110,$CW183&lt;&gt;$CV$111),$DK183,""))),"")</f>
      </c>
      <c s="76">
        <f>IF(ISERROR(VLOOKUP(CV183,$AL$8:$AL$15,1,FALSE))=TRUE,IF(CJ183&lt;&gt;"",IF(CJ183&gt;0,RANK(CJ183,$CJ$111:$CJ$300),""),""),"")</f>
      </c>
      <c s="75">
        <f>IF(ISERROR(VLOOKUP(CV183,$AL$8:$AL$15,1,FALSE))=TRUE,IF(AND(CV183=CW183,CV183&lt;&gt;"",DJ183&lt;&gt;""),IF(AND(ISERROR(FIND("NeighMkt",$CX$102))=FALSE,LEFT($CW$111,10)="ALL OUTLET"),DJ183-IF(ISERROR(VLOOKUP(CV183,$CA$113:$DK$300,36,FALSE))=TRUE,0,IF(VLOOKUP(CV183,$CA$113:$DK$300,36,FALSE)="",0,VLOOKUP(CV183,$CA$113:$DK$300,36,FALSE))),DJ183),""),"")</f>
      </c>
      <c s="76">
        <f>IF(ISERROR(VLOOKUP(CV183,$AL$8:$AL$15,1,FALSE))=TRUE,IF(CL183&lt;&gt;"",IF(CL183&gt;0,IF($Z$4&lt;&gt;"",MIN(4,RANK(CL183,$CL$111:$CL$300)),RANK(CL183,$CL$111:$CL$300)),""),""),"")</f>
      </c>
      <c s="75">
        <f>IF(ISERROR(VLOOKUP(CV183,$AL$8:$AL$15,1,FALSE))=TRUE,IF(AND(ISERROR(FIND("NeighMkt",$CX$102))=FALSE,LEFT($CW$111,10)="ALL OUTLET",$CA183&lt;&gt;"",DJ183&lt;&gt;""),"",IF(AND($CV183&lt;&gt;$CW183,$CW183=CN$110),$DJ183,"")),"")</f>
        <v>2263680.30813599</v>
      </c>
      <c s="76">
        <f>IF(ISERROR(VLOOKUP(CV183,$AL$8:$AL$15,1,FALSE))=TRUE,IF(CN183&lt;&gt;"",IF(CN183&gt;0,RANK(CN183,$CN$111:$CN$300),""),""),"")</f>
        <v>41</v>
      </c>
      <c s="75">
        <f>IF(ISERROR(VLOOKUP(CV183,$AL$8:$AL$15,1,FALSE))=TRUE,IF(AND(ISERROR(FIND("NeighMkt",$CX$102))=FALSE,LEFT($CW$111,10)="ALL OUTLET",$CA183&lt;&gt;"",DJ183&lt;&gt;""),"",IF(AND($CV183&lt;&gt;$CW183,$CW183=CP$110),$DJ183,"")),"")</f>
      </c>
      <c s="76">
        <f>IF(ISERROR(VLOOKUP(CV183,$AL$8:$AL$15,1,FALSE))=TRUE,IF(CP183&lt;&gt;"",IF(CP183&gt;0,RANK(CP183,$CP$111:$CP$300),""),""),"")</f>
      </c>
      <c s="75">
        <f>IF(ISERROR(VLOOKUP(CV183,$AL$8:$AL$15,1,FALSE))=TRUE,IF(AND(ISERROR(FIND("NeighMkt",$CX$102))=FALSE,LEFT($CW$111,10)="ALL OUTLET",$CA183&lt;&gt;"",DJ183&lt;&gt;""),"",IF(AND($CV183&lt;&gt;$CW183,$CW183=CR$110),$DJ183,"")),"")</f>
      </c>
      <c s="76">
        <f>IF(ISERROR(VLOOKUP(CV183,$AL$8:$AL$15,1,FALSE))=TRUE,IF(CR183&lt;&gt;"",IF(CR183&gt;0,RANK(CR183,$CR$111:$CR$300),""),""),"")</f>
      </c>
      <c s="75">
        <f>IF(ISERROR(VLOOKUP(CV183,$AL$8:$AL$15,1,FALSE))=TRUE,IF(AND(ISERROR(FIND("NeighMkt",$CX$102))=FALSE,LEFT($CW$111,10)="ALL OUTLET",$CA183&lt;&gt;"",DJ183&lt;&gt;""),"",IF($Z$4="",IF(AND($CV183&lt;&gt;$CW183,$CW183=CT$110),$DJ183,""),IF(AND($CV183&lt;&gt;$CW183,$CW183&lt;&gt;CN$110,$CW183&lt;&gt;CP$110,$CW183&lt;&gt;CR$110,$CW183&lt;&gt;$CV$111),$DJ183,""))),"")</f>
      </c>
      <c s="76">
        <f>IF(ISERROR(VLOOKUP(CV183,$AL$8:$AL$15,1,FALSE))=TRUE,IF(CT183&lt;&gt;"",IF(CT183&gt;0,RANK(CT183,$CT$111:$CT$300),""),""),"")</f>
      </c>
      <c s="65" t="str">
        <f t="shared" si="19"/>
        <v>Schnucks</v>
      </c>
      <c s="65" t="str">
        <f t="shared" si="20"/>
        <v>GroceryX</v>
      </c>
      <c s="72" t="str">
        <f>IF('[1]Leakage Tree Data'!A82&lt;&gt;"",'[1]Leakage Tree Data'!A82,"")</f>
        <v>Total US - Schnucks</v>
      </c>
      <c s="72" t="str">
        <f>IF('[1]Leakage Tree Data'!B82&lt;&gt;"",'[1]Leakage Tree Data'!B82,"")</f>
        <v>Total US - GroceryX</v>
      </c>
      <c s="72">
        <f>IF('[1]Leakage Tree Data'!C82&lt;&gt;"",'[1]Leakage Tree Data'!C82,"")</f>
        <v>121171760.292236</v>
      </c>
      <c s="72">
        <f>IF('[1]Leakage Tree Data'!D82&lt;&gt;"",'[1]Leakage Tree Data'!D82,"")</f>
        <v>1638034.86279297</v>
      </c>
      <c s="72">
        <f>IF('[1]Leakage Tree Data'!E82&lt;&gt;"",'[1]Leakage Tree Data'!E82,"")</f>
        <v>1.35182889052898</v>
      </c>
      <c s="72">
        <f>IF('[1]Leakage Tree Data'!F82&lt;&gt;"",'[1]Leakage Tree Data'!F82,"")</f>
        <v>119533725.429443</v>
      </c>
      <c s="72">
        <f>IF('[1]Leakage Tree Data'!G82&lt;&gt;"",'[1]Leakage Tree Data'!G82,"")</f>
        <v>98.648171109471</v>
      </c>
      <c s="72">
        <f>IF('[1]Leakage Tree Data'!H82&lt;&gt;"",'[1]Leakage Tree Data'!H82,"")</f>
        <v>61518209.9918823</v>
      </c>
      <c s="72" t="str">
        <f>IF('[1]Leakage Tree Data'!I82&lt;&gt;"",'[1]Leakage Tree Data'!I82,"")</f>
        <v>GroceryX</v>
      </c>
      <c s="72">
        <f>IF('[1]Leakage Tree Data'!J82&lt;&gt;"",'[1]Leakage Tree Data'!J82,"")</f>
        <v>99.6490601701224</v>
      </c>
      <c s="72">
        <f>IF('[1]Leakage Tree Data'!K82&lt;&gt;"",'[1]Leakage Tree Data'!K82,"")</f>
        <v>215891.901489258</v>
      </c>
      <c s="72">
        <f>IF('[1]Leakage Tree Data'!L82&lt;&gt;"",'[1]Leakage Tree Data'!L82,"")</f>
      </c>
      <c s="72">
        <f>IF('[1]Leakage Tree Data'!M82&lt;&gt;"",'[1]Leakage Tree Data'!M82,"")</f>
        <v>2263680.30813599</v>
      </c>
      <c s="72">
        <f>IF('[1]Leakage Tree Data'!N82&lt;&gt;"",'[1]Leakage Tree Data'!N82,"")</f>
      </c>
      <c s="72">
        <f>IF('[1]Leakage Tree Data'!O82&lt;&gt;"",'[1]Leakage Tree Data'!O82,"")</f>
        <v>23.5805568820646</v>
      </c>
      <c s="72">
        <f>IF('[1]Leakage Tree Data'!P82&lt;&gt;"",'[1]Leakage Tree Data'!P82,"")</f>
        <v>254522.498587304</v>
      </c>
      <c s="72">
        <f>IF('[1]Leakage Tree Data'!Q82&lt;&gt;"",'[1]Leakage Tree Data'!Q82,"")</f>
      </c>
      <c s="72">
        <f>IF('[1]Leakage Tree Data'!R82&lt;&gt;"",'[1]Leakage Tree Data'!R82,"")</f>
        <v>1017625.85098267</v>
      </c>
      <c s="72">
        <f>IF('[1]Leakage Tree Data'!S82&lt;&gt;"",'[1]Leakage Tree Data'!S82,"")</f>
        <v>-39293.6895141602</v>
      </c>
      <c s="72">
        <f>IF('[1]Leakage Tree Data'!T82&lt;&gt;"",'[1]Leakage Tree Data'!T82,"")</f>
        <v>-0.044151830490005</v>
      </c>
      <c s="72">
        <f>IF('[1]Leakage Tree Data'!U82&lt;&gt;"",'[1]Leakage Tree Data'!U82,"")</f>
        <v>1056919.54049683</v>
      </c>
      <c s="72">
        <f>IF('[1]Leakage Tree Data'!V82&lt;&gt;"",'[1]Leakage Tree Data'!V82,"")</f>
        <v>0.0441518304900086</v>
      </c>
      <c s="72">
        <f>IF('[1]Leakage Tree Data'!W82&lt;&gt;"",'[1]Leakage Tree Data'!W82,"")</f>
        <v>-1855949.2237854</v>
      </c>
      <c s="72">
        <f>IF('[1]Leakage Tree Data'!X82&lt;&gt;"",'[1]Leakage Tree Data'!X82,"")</f>
      </c>
      <c s="72">
        <f>IF('[1]Leakage Tree Data'!Y82&lt;&gt;"",'[1]Leakage Tree Data'!Y82,"")</f>
        <v>0.047794834174951</v>
      </c>
      <c s="72">
        <f>IF('[1]Leakage Tree Data'!Z82&lt;&gt;"",'[1]Leakage Tree Data'!Z82,"")</f>
        <v>-36802.8393554688</v>
      </c>
      <c s="72">
        <f>IF('[1]Leakage Tree Data'!AA82&lt;&gt;"",'[1]Leakage Tree Data'!AA82,"")</f>
      </c>
      <c s="72">
        <f>IF('[1]Leakage Tree Data'!AB82&lt;&gt;"",'[1]Leakage Tree Data'!AB82,"")</f>
        <v>-288522.914299011</v>
      </c>
      <c s="72">
        <f>IF('[1]Leakage Tree Data'!AC82&lt;&gt;"",'[1]Leakage Tree Data'!AC82,"")</f>
      </c>
      <c s="72">
        <f>IF('[1]Leakage Tree Data'!AD82&lt;&gt;"",'[1]Leakage Tree Data'!AD82,"")</f>
        <v>-1.87680219213592</v>
      </c>
      <c s="72">
        <f>IF('[1]Leakage Tree Data'!AE82&lt;&gt;"",'[1]Leakage Tree Data'!AE82,"")</f>
      </c>
      <c s="73">
        <f t="shared" si="21"/>
      </c>
      <c s="73">
        <f t="shared" si="22"/>
      </c>
      <c s="73">
        <f t="shared" si="23"/>
      </c>
      <c s="73">
        <f t="shared" si="24"/>
      </c>
      <c s="74">
        <f t="shared" si="25"/>
      </c>
      <c s="74">
        <f t="shared" si="26"/>
      </c>
      <c s="69" t="str">
        <f t="shared" si="17"/>
        <v>Total US - Schnucks</v>
      </c>
      <c s="69" t="str">
        <f t="shared" si="18"/>
        <v>Total US - GroceryX</v>
      </c>
      <c s="77"/>
    </row>
    <row r="184" spans="1:141" ht="15">
      <c r="A18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184,$AL$8:$AL$15,1,FALSE))=TRUE,IF(AND(CV184=CW184,CV184&lt;&gt;"",DI$111&lt;&gt;"",DK184&lt;&gt;""),IF(CW$101="Y",DK184-IF(ISERROR(VLOOKUP(CV184,$CA$113:$DK$300,37,FALSE))=TRUE,0,IF(VLOOKUP(CV184,$CA$113:$DK$300,37,FALSE)="",0,VLOOKUP(CV184,$CA$113:$DK$300,37,FALSE))),DK184-IF(AND(CW$102="Y",CV184=$CW$111),DI$111,0)),""),"")</f>
      </c>
      <c s="76">
        <f>IF(ISERROR(VLOOKUP(CV184,$AL$8:$AL$15,1,FALSE))=TRUE,IF(CB184&lt;&gt;"",IF(CB184&gt;0,IF(Z$4&lt;&gt;"",MIN(4,RANK(CB184,$CB$111:$CB$300)),RANK(CB184,$CB$111:$CB$300)),""),""),"")</f>
      </c>
      <c s="75">
        <f>IF(ISERROR(VLOOKUP(CV184,$AL$8:$AL$15,1,FALSE))=TRUE,IF(AND(ISERROR(FIND("NeighMkt",$CX$102))=FALSE,LEFT($CW$111,10)="ALL OUTLET",$CA184&lt;&gt;"",DK184&lt;&gt;""),"",IF(AND($CV184&lt;&gt;$CW184,$CW184=CD$110),$DK184,"")),"")</f>
      </c>
      <c s="76">
        <f>IF(ISERROR(VLOOKUP(CV184,$AL$8:$AL$15,1,FALSE))=TRUE,IF(CD184&lt;&gt;"",IF(CD184&gt;0,RANK(CD184,$CD$111:$CD$300),""),""),"")</f>
      </c>
      <c s="75">
        <f>IF(ISERROR(VLOOKUP(CV184,$AL$8:$AL$15,1,FALSE))=TRUE,IF(AND(ISERROR(FIND("NeighMkt",$CX$102))=FALSE,LEFT($CW$111,10)="ALL OUTLET",$CA184&lt;&gt;"",DK184&lt;&gt;""),"",IF(AND($CV184&lt;&gt;$CW184,$CW184=CF$110),$DK184,"")),"")</f>
      </c>
      <c s="76">
        <f>IF(ISERROR(VLOOKUP(CV184,$AL$8:$AL$15,1,FALSE))=TRUE,IF(CF184&lt;&gt;"",IF(CF184&gt;0,RANK(CF184,$CF$111:$CF$300),""),""),"")</f>
      </c>
      <c s="75">
        <f>IF(ISERROR(VLOOKUP(CV184,$AL$8:$AL$15,1,FALSE))=TRUE,IF(AND(ISERROR(FIND("NeighMkt",$CX$102))=FALSE,LEFT($CW$111,10)="ALL OUTLET",$CA184&lt;&gt;"",DK184&lt;&gt;""),"",IF(AND($CV184&lt;&gt;$CW184,$CW184=CH$110),$DK184,"")),"")</f>
      </c>
      <c s="76">
        <f>IF(ISERROR(VLOOKUP(CV184,$AL$8:$AL$15,1,FALSE))=TRUE,IF(CH184&lt;&gt;"",IF(CH184&gt;0,RANK(CH184,$CH$111:$CH$300),""),""),"")</f>
      </c>
      <c s="75">
        <f>IF(ISERROR(VLOOKUP(CV184,$AL$8:$AL$15,1,FALSE))=TRUE,IF(AND(ISERROR(FIND("NeighMkt",$CX$102))=FALSE,LEFT($CW$111,10)="ALL OUTLET",$CA184&lt;&gt;"",DK184&lt;&gt;""),"",IF($Z$4="",IF(AND($CV184&lt;&gt;$CW184,$CW184=CJ$110),$DK184,""),IF(AND($CV184&lt;&gt;$CW184,$CW184&lt;&gt;CD$110,$CW184&lt;&gt;CF$110,$CW184&lt;&gt;CH$110,$CW184&lt;&gt;$CV$111),$DK184,""))),"")</f>
      </c>
      <c s="76">
        <f>IF(ISERROR(VLOOKUP(CV184,$AL$8:$AL$15,1,FALSE))=TRUE,IF(CJ184&lt;&gt;"",IF(CJ184&gt;0,RANK(CJ184,$CJ$111:$CJ$300),""),""),"")</f>
      </c>
      <c s="75">
        <f>IF(ISERROR(VLOOKUP(CV184,$AL$8:$AL$15,1,FALSE))=TRUE,IF(AND(CV184=CW184,CV184&lt;&gt;"",DJ184&lt;&gt;""),IF(AND(ISERROR(FIND("NeighMkt",$CX$102))=FALSE,LEFT($CW$111,10)="ALL OUTLET"),DJ184-IF(ISERROR(VLOOKUP(CV184,$CA$113:$DK$300,36,FALSE))=TRUE,0,IF(VLOOKUP(CV184,$CA$113:$DK$300,36,FALSE)="",0,VLOOKUP(CV184,$CA$113:$DK$300,36,FALSE))),DJ184),""),"")</f>
      </c>
      <c s="76">
        <f>IF(ISERROR(VLOOKUP(CV184,$AL$8:$AL$15,1,FALSE))=TRUE,IF(CL184&lt;&gt;"",IF(CL184&gt;0,IF($Z$4&lt;&gt;"",MIN(4,RANK(CL184,$CL$111:$CL$300)),RANK(CL184,$CL$111:$CL$300)),""),""),"")</f>
      </c>
      <c s="75">
        <f>IF(ISERROR(VLOOKUP(CV184,$AL$8:$AL$15,1,FALSE))=TRUE,IF(AND(ISERROR(FIND("NeighMkt",$CX$102))=FALSE,LEFT($CW$111,10)="ALL OUTLET",$CA184&lt;&gt;"",DJ184&lt;&gt;""),"",IF(AND($CV184&lt;&gt;$CW184,$CW184=CN$110),$DJ184,"")),"")</f>
        <v>3152132.91743469</v>
      </c>
      <c s="76">
        <f>IF(ISERROR(VLOOKUP(CV184,$AL$8:$AL$15,1,FALSE))=TRUE,IF(CN184&lt;&gt;"",IF(CN184&gt;0,RANK(CN184,$CN$111:$CN$300),""),""),"")</f>
        <v>36</v>
      </c>
      <c s="75">
        <f>IF(ISERROR(VLOOKUP(CV184,$AL$8:$AL$15,1,FALSE))=TRUE,IF(AND(ISERROR(FIND("NeighMkt",$CX$102))=FALSE,LEFT($CW$111,10)="ALL OUTLET",$CA184&lt;&gt;"",DJ184&lt;&gt;""),"",IF(AND($CV184&lt;&gt;$CW184,$CW184=CP$110),$DJ184,"")),"")</f>
      </c>
      <c s="76">
        <f>IF(ISERROR(VLOOKUP(CV184,$AL$8:$AL$15,1,FALSE))=TRUE,IF(CP184&lt;&gt;"",IF(CP184&gt;0,RANK(CP184,$CP$111:$CP$300),""),""),"")</f>
      </c>
      <c s="75">
        <f>IF(ISERROR(VLOOKUP(CV184,$AL$8:$AL$15,1,FALSE))=TRUE,IF(AND(ISERROR(FIND("NeighMkt",$CX$102))=FALSE,LEFT($CW$111,10)="ALL OUTLET",$CA184&lt;&gt;"",DJ184&lt;&gt;""),"",IF(AND($CV184&lt;&gt;$CW184,$CW184=CR$110),$DJ184,"")),"")</f>
      </c>
      <c s="76">
        <f>IF(ISERROR(VLOOKUP(CV184,$AL$8:$AL$15,1,FALSE))=TRUE,IF(CR184&lt;&gt;"",IF(CR184&gt;0,RANK(CR184,$CR$111:$CR$300),""),""),"")</f>
      </c>
      <c s="75">
        <f>IF(ISERROR(VLOOKUP(CV184,$AL$8:$AL$15,1,FALSE))=TRUE,IF(AND(ISERROR(FIND("NeighMkt",$CX$102))=FALSE,LEFT($CW$111,10)="ALL OUTLET",$CA184&lt;&gt;"",DJ184&lt;&gt;""),"",IF($Z$4="",IF(AND($CV184&lt;&gt;$CW184,$CW184=CT$110),$DJ184,""),IF(AND($CV184&lt;&gt;$CW184,$CW184&lt;&gt;CN$110,$CW184&lt;&gt;CP$110,$CW184&lt;&gt;CR$110,$CW184&lt;&gt;$CV$111),$DJ184,""))),"")</f>
      </c>
      <c s="76">
        <f>IF(ISERROR(VLOOKUP(CV184,$AL$8:$AL$15,1,FALSE))=TRUE,IF(CT184&lt;&gt;"",IF(CT184&gt;0,RANK(CT184,$CT$111:$CT$300),""),""),"")</f>
      </c>
      <c s="65" t="str">
        <f t="shared" si="19"/>
        <v>Shaws</v>
      </c>
      <c s="65" t="str">
        <f t="shared" si="20"/>
        <v>GroceryX</v>
      </c>
      <c s="72" t="str">
        <f>IF('[1]Leakage Tree Data'!A83&lt;&gt;"",'[1]Leakage Tree Data'!A83,"")</f>
        <v>Total US - Shaws</v>
      </c>
      <c s="72" t="str">
        <f>IF('[1]Leakage Tree Data'!B83&lt;&gt;"",'[1]Leakage Tree Data'!B83,"")</f>
        <v>Total US - GroceryX</v>
      </c>
      <c s="72">
        <f>IF('[1]Leakage Tree Data'!C83&lt;&gt;"",'[1]Leakage Tree Data'!C83,"")</f>
        <v>121171760.292236</v>
      </c>
      <c s="72">
        <f>IF('[1]Leakage Tree Data'!D83&lt;&gt;"",'[1]Leakage Tree Data'!D83,"")</f>
        <v>2286847.35144043</v>
      </c>
      <c s="72">
        <f>IF('[1]Leakage Tree Data'!E83&lt;&gt;"",'[1]Leakage Tree Data'!E83,"")</f>
        <v>1.88727748604553</v>
      </c>
      <c s="72">
        <f>IF('[1]Leakage Tree Data'!F83&lt;&gt;"",'[1]Leakage Tree Data'!F83,"")</f>
        <v>118884912.940796</v>
      </c>
      <c s="72">
        <f>IF('[1]Leakage Tree Data'!G83&lt;&gt;"",'[1]Leakage Tree Data'!G83,"")</f>
        <v>98.1127225139545</v>
      </c>
      <c s="72">
        <f>IF('[1]Leakage Tree Data'!H83&lt;&gt;"",'[1]Leakage Tree Data'!H83,"")</f>
        <v>61518209.9918823</v>
      </c>
      <c s="72" t="str">
        <f>IF('[1]Leakage Tree Data'!I83&lt;&gt;"",'[1]Leakage Tree Data'!I83,"")</f>
        <v>GroceryX</v>
      </c>
      <c s="72">
        <f>IF('[1]Leakage Tree Data'!J83&lt;&gt;"",'[1]Leakage Tree Data'!J83,"")</f>
        <v>99.4180448879004</v>
      </c>
      <c s="72">
        <f>IF('[1]Leakage Tree Data'!K83&lt;&gt;"",'[1]Leakage Tree Data'!K83,"")</f>
        <v>358008.367919922</v>
      </c>
      <c s="72">
        <f>IF('[1]Leakage Tree Data'!L83&lt;&gt;"",'[1]Leakage Tree Data'!L83,"")</f>
      </c>
      <c s="72">
        <f>IF('[1]Leakage Tree Data'!M83&lt;&gt;"",'[1]Leakage Tree Data'!M83,"")</f>
        <v>3152132.91743469</v>
      </c>
      <c s="72">
        <f>IF('[1]Leakage Tree Data'!N83&lt;&gt;"",'[1]Leakage Tree Data'!N83,"")</f>
      </c>
      <c s="72">
        <f>IF('[1]Leakage Tree Data'!O83&lt;&gt;"",'[1]Leakage Tree Data'!O83,"")</f>
        <v>31.9538840210669</v>
      </c>
      <c s="72">
        <f>IF('[1]Leakage Tree Data'!P83&lt;&gt;"",'[1]Leakage Tree Data'!P83,"")</f>
        <v>379889.614043966</v>
      </c>
      <c s="72">
        <f>IF('[1]Leakage Tree Data'!Q83&lt;&gt;"",'[1]Leakage Tree Data'!Q83,"")</f>
      </c>
      <c s="72">
        <f>IF('[1]Leakage Tree Data'!R83&lt;&gt;"",'[1]Leakage Tree Data'!R83,"")</f>
        <v>1017625.85098267</v>
      </c>
      <c s="72">
        <f>IF('[1]Leakage Tree Data'!S83&lt;&gt;"",'[1]Leakage Tree Data'!S83,"")</f>
        <v>-168149.018432617</v>
      </c>
      <c s="72">
        <f>IF('[1]Leakage Tree Data'!T83&lt;&gt;"",'[1]Leakage Tree Data'!T83,"")</f>
        <v>-0.155928418844376</v>
      </c>
      <c s="72">
        <f>IF('[1]Leakage Tree Data'!U83&lt;&gt;"",'[1]Leakage Tree Data'!U83,"")</f>
        <v>1185774.86941528</v>
      </c>
      <c s="72">
        <f>IF('[1]Leakage Tree Data'!V83&lt;&gt;"",'[1]Leakage Tree Data'!V83,"")</f>
        <v>0.155928418844368</v>
      </c>
      <c s="72">
        <f>IF('[1]Leakage Tree Data'!W83&lt;&gt;"",'[1]Leakage Tree Data'!W83,"")</f>
        <v>-1855949.2237854</v>
      </c>
      <c s="72">
        <f>IF('[1]Leakage Tree Data'!X83&lt;&gt;"",'[1]Leakage Tree Data'!X83,"")</f>
      </c>
      <c s="72">
        <f>IF('[1]Leakage Tree Data'!Y83&lt;&gt;"",'[1]Leakage Tree Data'!Y83,"")</f>
        <v>-0.0387145621604787</v>
      </c>
      <c s="72">
        <f>IF('[1]Leakage Tree Data'!Z83&lt;&gt;"",'[1]Leakage Tree Data'!Z83,"")</f>
        <v>13734.2368774414</v>
      </c>
      <c s="72">
        <f>IF('[1]Leakage Tree Data'!AA83&lt;&gt;"",'[1]Leakage Tree Data'!AA83,"")</f>
      </c>
      <c s="72">
        <f>IF('[1]Leakage Tree Data'!AB83&lt;&gt;"",'[1]Leakage Tree Data'!AB83,"")</f>
        <v>-176291.255844116</v>
      </c>
      <c s="72">
        <f>IF('[1]Leakage Tree Data'!AC83&lt;&gt;"",'[1]Leakage Tree Data'!AC83,"")</f>
      </c>
      <c s="72">
        <f>IF('[1]Leakage Tree Data'!AD83&lt;&gt;"",'[1]Leakage Tree Data'!AD83,"")</f>
        <v>0.915728557604982</v>
      </c>
      <c s="72">
        <f>IF('[1]Leakage Tree Data'!AE83&lt;&gt;"",'[1]Leakage Tree Data'!AE83,"")</f>
      </c>
      <c s="73">
        <f t="shared" si="21"/>
      </c>
      <c s="73">
        <f t="shared" si="22"/>
      </c>
      <c s="73">
        <f t="shared" si="23"/>
      </c>
      <c s="73">
        <f t="shared" si="24"/>
      </c>
      <c s="74">
        <f t="shared" si="25"/>
      </c>
      <c s="74">
        <f t="shared" si="26"/>
      </c>
      <c s="69" t="str">
        <f t="shared" si="17"/>
        <v>Total US - Shaws</v>
      </c>
      <c s="69" t="str">
        <f t="shared" si="18"/>
        <v>Total US - GroceryX</v>
      </c>
      <c s="77"/>
    </row>
    <row r="185" spans="1:141" ht="15">
      <c r="A18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185,$AL$8:$AL$15,1,FALSE))=TRUE,IF(AND(CV185=CW185,CV185&lt;&gt;"",DI$111&lt;&gt;"",DK185&lt;&gt;""),IF(CW$101="Y",DK185-IF(ISERROR(VLOOKUP(CV185,$CA$113:$DK$300,37,FALSE))=TRUE,0,IF(VLOOKUP(CV185,$CA$113:$DK$300,37,FALSE)="",0,VLOOKUP(CV185,$CA$113:$DK$300,37,FALSE))),DK185-IF(AND(CW$102="Y",CV185=$CW$111),DI$111,0)),""),"")</f>
      </c>
      <c s="76">
        <f>IF(ISERROR(VLOOKUP(CV185,$AL$8:$AL$15,1,FALSE))=TRUE,IF(CB185&lt;&gt;"",IF(CB185&gt;0,IF(Z$4&lt;&gt;"",MIN(4,RANK(CB185,$CB$111:$CB$300)),RANK(CB185,$CB$111:$CB$300)),""),""),"")</f>
      </c>
      <c s="75">
        <f>IF(ISERROR(VLOOKUP(CV185,$AL$8:$AL$15,1,FALSE))=TRUE,IF(AND(ISERROR(FIND("NeighMkt",$CX$102))=FALSE,LEFT($CW$111,10)="ALL OUTLET",$CA185&lt;&gt;"",DK185&lt;&gt;""),"",IF(AND($CV185&lt;&gt;$CW185,$CW185=CD$110),$DK185,"")),"")</f>
      </c>
      <c s="76">
        <f>IF(ISERROR(VLOOKUP(CV185,$AL$8:$AL$15,1,FALSE))=TRUE,IF(CD185&lt;&gt;"",IF(CD185&gt;0,RANK(CD185,$CD$111:$CD$300),""),""),"")</f>
      </c>
      <c s="75">
        <f>IF(ISERROR(VLOOKUP(CV185,$AL$8:$AL$15,1,FALSE))=TRUE,IF(AND(ISERROR(FIND("NeighMkt",$CX$102))=FALSE,LEFT($CW$111,10)="ALL OUTLET",$CA185&lt;&gt;"",DK185&lt;&gt;""),"",IF(AND($CV185&lt;&gt;$CW185,$CW185=CF$110),$DK185,"")),"")</f>
      </c>
      <c s="76">
        <f>IF(ISERROR(VLOOKUP(CV185,$AL$8:$AL$15,1,FALSE))=TRUE,IF(CF185&lt;&gt;"",IF(CF185&gt;0,RANK(CF185,$CF$111:$CF$300),""),""),"")</f>
      </c>
      <c s="75">
        <f>IF(ISERROR(VLOOKUP(CV185,$AL$8:$AL$15,1,FALSE))=TRUE,IF(AND(ISERROR(FIND("NeighMkt",$CX$102))=FALSE,LEFT($CW$111,10)="ALL OUTLET",$CA185&lt;&gt;"",DK185&lt;&gt;""),"",IF(AND($CV185&lt;&gt;$CW185,$CW185=CH$110),$DK185,"")),"")</f>
      </c>
      <c s="76">
        <f>IF(ISERROR(VLOOKUP(CV185,$AL$8:$AL$15,1,FALSE))=TRUE,IF(CH185&lt;&gt;"",IF(CH185&gt;0,RANK(CH185,$CH$111:$CH$300),""),""),"")</f>
      </c>
      <c s="75">
        <f>IF(ISERROR(VLOOKUP(CV185,$AL$8:$AL$15,1,FALSE))=TRUE,IF(AND(ISERROR(FIND("NeighMkt",$CX$102))=FALSE,LEFT($CW$111,10)="ALL OUTLET",$CA185&lt;&gt;"",DK185&lt;&gt;""),"",IF($Z$4="",IF(AND($CV185&lt;&gt;$CW185,$CW185=CJ$110),$DK185,""),IF(AND($CV185&lt;&gt;$CW185,$CW185&lt;&gt;CD$110,$CW185&lt;&gt;CF$110,$CW185&lt;&gt;CH$110,$CW185&lt;&gt;$CV$111),$DK185,""))),"")</f>
      </c>
      <c s="76">
        <f>IF(ISERROR(VLOOKUP(CV185,$AL$8:$AL$15,1,FALSE))=TRUE,IF(CJ185&lt;&gt;"",IF(CJ185&gt;0,RANK(CJ185,$CJ$111:$CJ$300),""),""),"")</f>
      </c>
      <c s="75">
        <f>IF(ISERROR(VLOOKUP(CV185,$AL$8:$AL$15,1,FALSE))=TRUE,IF(AND(CV185=CW185,CV185&lt;&gt;"",DJ185&lt;&gt;""),IF(AND(ISERROR(FIND("NeighMkt",$CX$102))=FALSE,LEFT($CW$111,10)="ALL OUTLET"),DJ185-IF(ISERROR(VLOOKUP(CV185,$CA$113:$DK$300,36,FALSE))=TRUE,0,IF(VLOOKUP(CV185,$CA$113:$DK$300,36,FALSE)="",0,VLOOKUP(CV185,$CA$113:$DK$300,36,FALSE))),DJ185),""),"")</f>
      </c>
      <c s="76">
        <f>IF(ISERROR(VLOOKUP(CV185,$AL$8:$AL$15,1,FALSE))=TRUE,IF(CL185&lt;&gt;"",IF(CL185&gt;0,IF($Z$4&lt;&gt;"",MIN(4,RANK(CL185,$CL$111:$CL$300)),RANK(CL185,$CL$111:$CL$300)),""),""),"")</f>
      </c>
      <c s="75">
        <f>IF(ISERROR(VLOOKUP(CV185,$AL$8:$AL$15,1,FALSE))=TRUE,IF(AND(ISERROR(FIND("NeighMkt",$CX$102))=FALSE,LEFT($CW$111,10)="ALL OUTLET",$CA185&lt;&gt;"",DJ185&lt;&gt;""),"",IF(AND($CV185&lt;&gt;$CW185,$CW185=CN$110),$DJ185,"")),"")</f>
        <v>967988.243804932</v>
      </c>
      <c s="76">
        <f>IF(ISERROR(VLOOKUP(CV185,$AL$8:$AL$15,1,FALSE))=TRUE,IF(CN185&lt;&gt;"",IF(CN185&gt;0,RANK(CN185,$CN$111:$CN$300),""),""),"")</f>
        <v>52</v>
      </c>
      <c s="75">
        <f>IF(ISERROR(VLOOKUP(CV185,$AL$8:$AL$15,1,FALSE))=TRUE,IF(AND(ISERROR(FIND("NeighMkt",$CX$102))=FALSE,LEFT($CW$111,10)="ALL OUTLET",$CA185&lt;&gt;"",DJ185&lt;&gt;""),"",IF(AND($CV185&lt;&gt;$CW185,$CW185=CP$110),$DJ185,"")),"")</f>
      </c>
      <c s="76">
        <f>IF(ISERROR(VLOOKUP(CV185,$AL$8:$AL$15,1,FALSE))=TRUE,IF(CP185&lt;&gt;"",IF(CP185&gt;0,RANK(CP185,$CP$111:$CP$300),""),""),"")</f>
      </c>
      <c s="75">
        <f>IF(ISERROR(VLOOKUP(CV185,$AL$8:$AL$15,1,FALSE))=TRUE,IF(AND(ISERROR(FIND("NeighMkt",$CX$102))=FALSE,LEFT($CW$111,10)="ALL OUTLET",$CA185&lt;&gt;"",DJ185&lt;&gt;""),"",IF(AND($CV185&lt;&gt;$CW185,$CW185=CR$110),$DJ185,"")),"")</f>
      </c>
      <c s="76">
        <f>IF(ISERROR(VLOOKUP(CV185,$AL$8:$AL$15,1,FALSE))=TRUE,IF(CR185&lt;&gt;"",IF(CR185&gt;0,RANK(CR185,$CR$111:$CR$300),""),""),"")</f>
      </c>
      <c s="75">
        <f>IF(ISERROR(VLOOKUP(CV185,$AL$8:$AL$15,1,FALSE))=TRUE,IF(AND(ISERROR(FIND("NeighMkt",$CX$102))=FALSE,LEFT($CW$111,10)="ALL OUTLET",$CA185&lt;&gt;"",DJ185&lt;&gt;""),"",IF($Z$4="",IF(AND($CV185&lt;&gt;$CW185,$CW185=CT$110),$DJ185,""),IF(AND($CV185&lt;&gt;$CW185,$CW185&lt;&gt;CN$110,$CW185&lt;&gt;CP$110,$CW185&lt;&gt;CR$110,$CW185&lt;&gt;$CV$111),$DJ185,""))),"")</f>
      </c>
      <c s="76">
        <f>IF(ISERROR(VLOOKUP(CV185,$AL$8:$AL$15,1,FALSE))=TRUE,IF(CT185&lt;&gt;"",IF(CT185&gt;0,RANK(CT185,$CT$111:$CT$300),""),""),"")</f>
      </c>
      <c s="65" t="str">
        <f t="shared" si="19"/>
        <v>Shop N Save</v>
      </c>
      <c s="65" t="str">
        <f t="shared" si="20"/>
        <v>GroceryX</v>
      </c>
      <c s="72" t="str">
        <f>IF('[1]Leakage Tree Data'!A84&lt;&gt;"",'[1]Leakage Tree Data'!A84,"")</f>
        <v>Total US - Shop N Save</v>
      </c>
      <c s="72" t="str">
        <f>IF('[1]Leakage Tree Data'!B84&lt;&gt;"",'[1]Leakage Tree Data'!B84,"")</f>
        <v>Total US - GroceryX</v>
      </c>
      <c s="72">
        <f>IF('[1]Leakage Tree Data'!C84&lt;&gt;"",'[1]Leakage Tree Data'!C84,"")</f>
        <v>121171760.292236</v>
      </c>
      <c s="72">
        <f>IF('[1]Leakage Tree Data'!D84&lt;&gt;"",'[1]Leakage Tree Data'!D84,"")</f>
        <v>832451.357116699</v>
      </c>
      <c s="72">
        <f>IF('[1]Leakage Tree Data'!E84&lt;&gt;"",'[1]Leakage Tree Data'!E84,"")</f>
        <v>0.687001125599754</v>
      </c>
      <c s="72">
        <f>IF('[1]Leakage Tree Data'!F84&lt;&gt;"",'[1]Leakage Tree Data'!F84,"")</f>
        <v>120339308.93512</v>
      </c>
      <c s="72">
        <f>IF('[1]Leakage Tree Data'!G84&lt;&gt;"",'[1]Leakage Tree Data'!G84,"")</f>
        <v>99.3129988744003</v>
      </c>
      <c s="72">
        <f>IF('[1]Leakage Tree Data'!H84&lt;&gt;"",'[1]Leakage Tree Data'!H84,"")</f>
        <v>61518209.9918823</v>
      </c>
      <c s="72" t="str">
        <f>IF('[1]Leakage Tree Data'!I84&lt;&gt;"",'[1]Leakage Tree Data'!I84,"")</f>
        <v>GroceryX</v>
      </c>
      <c s="72">
        <f>IF('[1]Leakage Tree Data'!J84&lt;&gt;"",'[1]Leakage Tree Data'!J84,"")</f>
        <v>99.7841751156148</v>
      </c>
      <c s="72">
        <f>IF('[1]Leakage Tree Data'!K84&lt;&gt;"",'[1]Leakage Tree Data'!K84,"")</f>
        <v>132771.60559082</v>
      </c>
      <c s="72">
        <f>IF('[1]Leakage Tree Data'!L84&lt;&gt;"",'[1]Leakage Tree Data'!L84,"")</f>
      </c>
      <c s="72">
        <f>IF('[1]Leakage Tree Data'!M84&lt;&gt;"",'[1]Leakage Tree Data'!M84,"")</f>
        <v>967988.243804932</v>
      </c>
      <c s="72">
        <f>IF('[1]Leakage Tree Data'!N84&lt;&gt;"",'[1]Leakage Tree Data'!N84,"")</f>
      </c>
      <c s="72">
        <f>IF('[1]Leakage Tree Data'!O84&lt;&gt;"",'[1]Leakage Tree Data'!O84,"")</f>
        <v>22.4132412207099</v>
      </c>
      <c s="72">
        <f>IF('[1]Leakage Tree Data'!P84&lt;&gt;"",'[1]Leakage Tree Data'!P84,"")</f>
        <v>130602.883539479</v>
      </c>
      <c s="72">
        <f>IF('[1]Leakage Tree Data'!Q84&lt;&gt;"",'[1]Leakage Tree Data'!Q84,"")</f>
      </c>
      <c s="72">
        <f>IF('[1]Leakage Tree Data'!R84&lt;&gt;"",'[1]Leakage Tree Data'!R84,"")</f>
        <v>1017625.85098267</v>
      </c>
      <c s="72">
        <f>IF('[1]Leakage Tree Data'!S84&lt;&gt;"",'[1]Leakage Tree Data'!S84,"")</f>
        <v>-22056.0302124023</v>
      </c>
      <c s="72">
        <f>IF('[1]Leakage Tree Data'!T84&lt;&gt;"",'[1]Leakage Tree Data'!T84,"")</f>
        <v>-0.0241748911913215</v>
      </c>
      <c s="72">
        <f>IF('[1]Leakage Tree Data'!U84&lt;&gt;"",'[1]Leakage Tree Data'!U84,"")</f>
        <v>1039681.88119507</v>
      </c>
      <c s="72">
        <f>IF('[1]Leakage Tree Data'!V84&lt;&gt;"",'[1]Leakage Tree Data'!V84,"")</f>
        <v>0.024174891191322</v>
      </c>
      <c s="72">
        <f>IF('[1]Leakage Tree Data'!W84&lt;&gt;"",'[1]Leakage Tree Data'!W84,"")</f>
        <v>-1855949.2237854</v>
      </c>
      <c s="72">
        <f>IF('[1]Leakage Tree Data'!X84&lt;&gt;"",'[1]Leakage Tree Data'!X84,"")</f>
      </c>
      <c s="72">
        <f>IF('[1]Leakage Tree Data'!Y84&lt;&gt;"",'[1]Leakage Tree Data'!Y84,"")</f>
        <v>0.0208092134712103</v>
      </c>
      <c s="72">
        <f>IF('[1]Leakage Tree Data'!Z84&lt;&gt;"",'[1]Leakage Tree Data'!Z84,"")</f>
        <v>-17193.2643432617</v>
      </c>
      <c s="72">
        <f>IF('[1]Leakage Tree Data'!AA84&lt;&gt;"",'[1]Leakage Tree Data'!AA84,"")</f>
      </c>
      <c s="72">
        <f>IF('[1]Leakage Tree Data'!AB84&lt;&gt;"",'[1]Leakage Tree Data'!AB84,"")</f>
        <v>-688063.853134155</v>
      </c>
      <c s="72">
        <f>IF('[1]Leakage Tree Data'!AC84&lt;&gt;"",'[1]Leakage Tree Data'!AC84,"")</f>
      </c>
      <c s="72">
        <f>IF('[1]Leakage Tree Data'!AD84&lt;&gt;"",'[1]Leakage Tree Data'!AD84,"")</f>
        <v>-2.1052959980648</v>
      </c>
      <c s="72">
        <f>IF('[1]Leakage Tree Data'!AE84&lt;&gt;"",'[1]Leakage Tree Data'!AE84,"")</f>
      </c>
      <c s="73">
        <f t="shared" si="21"/>
      </c>
      <c s="73">
        <f t="shared" si="22"/>
      </c>
      <c s="73">
        <f t="shared" si="23"/>
      </c>
      <c s="73">
        <f t="shared" si="24"/>
      </c>
      <c s="74">
        <f t="shared" si="25"/>
      </c>
      <c s="74">
        <f t="shared" si="26"/>
      </c>
      <c s="69" t="str">
        <f t="shared" si="17"/>
        <v>Total US - Shop N Save</v>
      </c>
      <c s="69" t="str">
        <f t="shared" si="18"/>
        <v>Total US - GroceryX</v>
      </c>
      <c s="77"/>
    </row>
    <row r="186" spans="1:141" ht="15">
      <c r="A18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186,$AL$8:$AL$15,1,FALSE))=TRUE,IF(AND(CV186=CW186,CV186&lt;&gt;"",DI$111&lt;&gt;"",DK186&lt;&gt;""),IF(CW$101="Y",DK186-IF(ISERROR(VLOOKUP(CV186,$CA$113:$DK$300,37,FALSE))=TRUE,0,IF(VLOOKUP(CV186,$CA$113:$DK$300,37,FALSE)="",0,VLOOKUP(CV186,$CA$113:$DK$300,37,FALSE))),DK186-IF(AND(CW$102="Y",CV186=$CW$111),DI$111,0)),""),"")</f>
      </c>
      <c s="76">
        <f>IF(ISERROR(VLOOKUP(CV186,$AL$8:$AL$15,1,FALSE))=TRUE,IF(CB186&lt;&gt;"",IF(CB186&gt;0,IF(Z$4&lt;&gt;"",MIN(4,RANK(CB186,$CB$111:$CB$300)),RANK(CB186,$CB$111:$CB$300)),""),""),"")</f>
      </c>
      <c s="75">
        <f>IF(ISERROR(VLOOKUP(CV186,$AL$8:$AL$15,1,FALSE))=TRUE,IF(AND(ISERROR(FIND("NeighMkt",$CX$102))=FALSE,LEFT($CW$111,10)="ALL OUTLET",$CA186&lt;&gt;"",DK186&lt;&gt;""),"",IF(AND($CV186&lt;&gt;$CW186,$CW186=CD$110),$DK186,"")),"")</f>
        <v>8893623.20611572</v>
      </c>
      <c s="76">
        <f>IF(ISERROR(VLOOKUP(CV186,$AL$8:$AL$15,1,FALSE))=TRUE,IF(CD186&lt;&gt;"",IF(CD186&gt;0,RANK(CD186,$CD$111:$CD$300),""),""),"")</f>
        <v>3</v>
      </c>
      <c s="75">
        <f>IF(ISERROR(VLOOKUP(CV186,$AL$8:$AL$15,1,FALSE))=TRUE,IF(AND(ISERROR(FIND("NeighMkt",$CX$102))=FALSE,LEFT($CW$111,10)="ALL OUTLET",$CA186&lt;&gt;"",DK186&lt;&gt;""),"",IF(AND($CV186&lt;&gt;$CW186,$CW186=CF$110),$DK186,"")),"")</f>
      </c>
      <c s="76">
        <f>IF(ISERROR(VLOOKUP(CV186,$AL$8:$AL$15,1,FALSE))=TRUE,IF(CF186&lt;&gt;"",IF(CF186&gt;0,RANK(CF186,$CF$111:$CF$300),""),""),"")</f>
      </c>
      <c s="75">
        <f>IF(ISERROR(VLOOKUP(CV186,$AL$8:$AL$15,1,FALSE))=TRUE,IF(AND(ISERROR(FIND("NeighMkt",$CX$102))=FALSE,LEFT($CW$111,10)="ALL OUTLET",$CA186&lt;&gt;"",DK186&lt;&gt;""),"",IF(AND($CV186&lt;&gt;$CW186,$CW186=CH$110),$DK186,"")),"")</f>
      </c>
      <c s="76">
        <f>IF(ISERROR(VLOOKUP(CV186,$AL$8:$AL$15,1,FALSE))=TRUE,IF(CH186&lt;&gt;"",IF(CH186&gt;0,RANK(CH186,$CH$111:$CH$300),""),""),"")</f>
      </c>
      <c s="75">
        <f>IF(ISERROR(VLOOKUP(CV186,$AL$8:$AL$15,1,FALSE))=TRUE,IF(AND(ISERROR(FIND("NeighMkt",$CX$102))=FALSE,LEFT($CW$111,10)="ALL OUTLET",$CA186&lt;&gt;"",DK186&lt;&gt;""),"",IF($Z$4="",IF(AND($CV186&lt;&gt;$CW186,$CW186=CJ$110),$DK186,""),IF(AND($CV186&lt;&gt;$CW186,$CW186&lt;&gt;CD$110,$CW186&lt;&gt;CF$110,$CW186&lt;&gt;CH$110,$CW186&lt;&gt;$CV$111),$DK186,""))),"")</f>
      </c>
      <c s="76">
        <f>IF(ISERROR(VLOOKUP(CV186,$AL$8:$AL$15,1,FALSE))=TRUE,IF(CJ186&lt;&gt;"",IF(CJ186&gt;0,RANK(CJ186,$CJ$111:$CJ$300),""),""),"")</f>
      </c>
      <c s="75">
        <f>IF(ISERROR(VLOOKUP(CV186,$AL$8:$AL$15,1,FALSE))=TRUE,IF(AND(CV186=CW186,CV186&lt;&gt;"",DJ186&lt;&gt;""),IF(AND(ISERROR(FIND("NeighMkt",$CX$102))=FALSE,LEFT($CW$111,10)="ALL OUTLET"),DJ186-IF(ISERROR(VLOOKUP(CV186,$CA$113:$DK$300,36,FALSE))=TRUE,0,IF(VLOOKUP(CV186,$CA$113:$DK$300,36,FALSE)="",0,VLOOKUP(CV186,$CA$113:$DK$300,36,FALSE))),DJ186),""),"")</f>
      </c>
      <c s="76">
        <f>IF(ISERROR(VLOOKUP(CV186,$AL$8:$AL$15,1,FALSE))=TRUE,IF(CL186&lt;&gt;"",IF(CL186&gt;0,IF($Z$4&lt;&gt;"",MIN(4,RANK(CL186,$CL$111:$CL$300)),RANK(CL186,$CL$111:$CL$300)),""),""),"")</f>
      </c>
      <c s="75">
        <f>IF(ISERROR(VLOOKUP(CV186,$AL$8:$AL$15,1,FALSE))=TRUE,IF(AND(ISERROR(FIND("NeighMkt",$CX$102))=FALSE,LEFT($CW$111,10)="ALL OUTLET",$CA186&lt;&gt;"",DJ186&lt;&gt;""),"",IF(AND($CV186&lt;&gt;$CW186,$CW186=CN$110),$DJ186,"")),"")</f>
        <v>49893002.499836</v>
      </c>
      <c s="76">
        <f>IF(ISERROR(VLOOKUP(CV186,$AL$8:$AL$15,1,FALSE))=TRUE,IF(CN186&lt;&gt;"",IF(CN186&gt;0,RANK(CN186,$CN$111:$CN$300),""),""),"")</f>
        <v>2</v>
      </c>
      <c s="75">
        <f>IF(ISERROR(VLOOKUP(CV186,$AL$8:$AL$15,1,FALSE))=TRUE,IF(AND(ISERROR(FIND("NeighMkt",$CX$102))=FALSE,LEFT($CW$111,10)="ALL OUTLET",$CA186&lt;&gt;"",DJ186&lt;&gt;""),"",IF(AND($CV186&lt;&gt;$CW186,$CW186=CP$110),$DJ186,"")),"")</f>
      </c>
      <c s="76">
        <f>IF(ISERROR(VLOOKUP(CV186,$AL$8:$AL$15,1,FALSE))=TRUE,IF(CP186&lt;&gt;"",IF(CP186&gt;0,RANK(CP186,$CP$111:$CP$300),""),""),"")</f>
      </c>
      <c s="75">
        <f>IF(ISERROR(VLOOKUP(CV186,$AL$8:$AL$15,1,FALSE))=TRUE,IF(AND(ISERROR(FIND("NeighMkt",$CX$102))=FALSE,LEFT($CW$111,10)="ALL OUTLET",$CA186&lt;&gt;"",DJ186&lt;&gt;""),"",IF(AND($CV186&lt;&gt;$CW186,$CW186=CR$110),$DJ186,"")),"")</f>
      </c>
      <c s="76">
        <f>IF(ISERROR(VLOOKUP(CV186,$AL$8:$AL$15,1,FALSE))=TRUE,IF(CR186&lt;&gt;"",IF(CR186&gt;0,RANK(CR186,$CR$111:$CR$300),""),""),"")</f>
      </c>
      <c s="75">
        <f>IF(ISERROR(VLOOKUP(CV186,$AL$8:$AL$15,1,FALSE))=TRUE,IF(AND(ISERROR(FIND("NeighMkt",$CX$102))=FALSE,LEFT($CW$111,10)="ALL OUTLET",$CA186&lt;&gt;"",DJ186&lt;&gt;""),"",IF($Z$4="",IF(AND($CV186&lt;&gt;$CW186,$CW186=CT$110),$DJ186,""),IF(AND($CV186&lt;&gt;$CW186,$CW186&lt;&gt;CN$110,$CW186&lt;&gt;CP$110,$CW186&lt;&gt;CR$110,$CW186&lt;&gt;$CV$111),$DJ186,""))),"")</f>
      </c>
      <c s="76">
        <f>IF(ISERROR(VLOOKUP(CV186,$AL$8:$AL$15,1,FALSE))=TRUE,IF(CT186&lt;&gt;"",IF(CT186&gt;0,RANK(CT186,$CT$111:$CT$300),""),""),"")</f>
      </c>
      <c s="65" t="str">
        <f t="shared" si="19"/>
        <v>Shop Rite</v>
      </c>
      <c s="65" t="str">
        <f t="shared" si="20"/>
        <v>GroceryX</v>
      </c>
      <c s="72" t="str">
        <f>IF('[1]Leakage Tree Data'!A85&lt;&gt;"",'[1]Leakage Tree Data'!A85,"")</f>
        <v>Total US - Shop Rite</v>
      </c>
      <c s="72" t="str">
        <f>IF('[1]Leakage Tree Data'!B85&lt;&gt;"",'[1]Leakage Tree Data'!B85,"")</f>
        <v>Total US - GroceryX</v>
      </c>
      <c s="72">
        <f>IF('[1]Leakage Tree Data'!C85&lt;&gt;"",'[1]Leakage Tree Data'!C85,"")</f>
        <v>121171760.292236</v>
      </c>
      <c s="72">
        <f>IF('[1]Leakage Tree Data'!D85&lt;&gt;"",'[1]Leakage Tree Data'!D85,"")</f>
        <v>7402749.77325439</v>
      </c>
      <c s="72">
        <f>IF('[1]Leakage Tree Data'!E85&lt;&gt;"",'[1]Leakage Tree Data'!E85,"")</f>
        <v>6.10930282385994</v>
      </c>
      <c s="72">
        <f>IF('[1]Leakage Tree Data'!F85&lt;&gt;"",'[1]Leakage Tree Data'!F85,"")</f>
        <v>113769010.518982</v>
      </c>
      <c s="72">
        <f>IF('[1]Leakage Tree Data'!G85&lt;&gt;"",'[1]Leakage Tree Data'!G85,"")</f>
        <v>93.8906971761401</v>
      </c>
      <c s="72">
        <f>IF('[1]Leakage Tree Data'!H85&lt;&gt;"",'[1]Leakage Tree Data'!H85,"")</f>
        <v>61518209.9918823</v>
      </c>
      <c s="72" t="str">
        <f>IF('[1]Leakage Tree Data'!I85&lt;&gt;"",'[1]Leakage Tree Data'!I85,"")</f>
        <v>GroceryX</v>
      </c>
      <c s="72">
        <f>IF('[1]Leakage Tree Data'!J85&lt;&gt;"",'[1]Leakage Tree Data'!J85,"")</f>
        <v>96.0793225106172</v>
      </c>
      <c s="72">
        <f>IF('[1]Leakage Tree Data'!K85&lt;&gt;"",'[1]Leakage Tree Data'!K85,"")</f>
        <v>2411930.61102295</v>
      </c>
      <c s="72">
        <f>IF('[1]Leakage Tree Data'!L85&lt;&gt;"",'[1]Leakage Tree Data'!L85,"")</f>
        <v>8893623.20611572</v>
      </c>
      <c s="72">
        <f>IF('[1]Leakage Tree Data'!M85&lt;&gt;"",'[1]Leakage Tree Data'!M85,"")</f>
        <v>49893002.499836</v>
      </c>
      <c s="72">
        <f>IF('[1]Leakage Tree Data'!N85&lt;&gt;"",'[1]Leakage Tree Data'!N85,"")</f>
        <v>8893623.20611572</v>
      </c>
      <c s="72">
        <f>IF('[1]Leakage Tree Data'!O85&lt;&gt;"",'[1]Leakage Tree Data'!O85,"")</f>
        <v>60.3427741433036</v>
      </c>
      <c s="72">
        <f>IF('[1]Leakage Tree Data'!P85&lt;&gt;"",'[1]Leakage Tree Data'!P85,"")</f>
        <v>2074027.34202799</v>
      </c>
      <c s="72">
        <f>IF('[1]Leakage Tree Data'!Q85&lt;&gt;"",'[1]Leakage Tree Data'!Q85,"")</f>
      </c>
      <c s="72">
        <f>IF('[1]Leakage Tree Data'!R85&lt;&gt;"",'[1]Leakage Tree Data'!R85,"")</f>
        <v>1017625.85098267</v>
      </c>
      <c s="72">
        <f>IF('[1]Leakage Tree Data'!S85&lt;&gt;"",'[1]Leakage Tree Data'!S85,"")</f>
        <v>201159.17791748</v>
      </c>
      <c s="72">
        <f>IF('[1]Leakage Tree Data'!T85&lt;&gt;"",'[1]Leakage Tree Data'!T85,"")</f>
        <v>0.115675863933774</v>
      </c>
      <c s="72">
        <f>IF('[1]Leakage Tree Data'!U85&lt;&gt;"",'[1]Leakage Tree Data'!U85,"")</f>
        <v>816466.673065186</v>
      </c>
      <c s="72">
        <f>IF('[1]Leakage Tree Data'!V85&lt;&gt;"",'[1]Leakage Tree Data'!V85,"")</f>
        <v>-0.115675863933774</v>
      </c>
      <c s="72">
        <f>IF('[1]Leakage Tree Data'!W85&lt;&gt;"",'[1]Leakage Tree Data'!W85,"")</f>
        <v>-1855949.2237854</v>
      </c>
      <c s="72">
        <f>IF('[1]Leakage Tree Data'!X85&lt;&gt;"",'[1]Leakage Tree Data'!X85,"")</f>
      </c>
      <c s="72">
        <f>IF('[1]Leakage Tree Data'!Y85&lt;&gt;"",'[1]Leakage Tree Data'!Y85,"")</f>
        <v>-0.0540471229883224</v>
      </c>
      <c s="72">
        <f>IF('[1]Leakage Tree Data'!Z85&lt;&gt;"",'[1]Leakage Tree Data'!Z85,"")</f>
        <v>-38513.8736572266</v>
      </c>
      <c s="72">
        <f>IF('[1]Leakage Tree Data'!AA85&lt;&gt;"",'[1]Leakage Tree Data'!AA85,"")</f>
        <v>-3795265.7809906</v>
      </c>
      <c s="72">
        <f>IF('[1]Leakage Tree Data'!AB85&lt;&gt;"",'[1]Leakage Tree Data'!AB85,"")</f>
        <v>-10066591.6927147</v>
      </c>
      <c s="72">
        <f>IF('[1]Leakage Tree Data'!AC85&lt;&gt;"",'[1]Leakage Tree Data'!AC85,"")</f>
        <v>-3795265.7809906</v>
      </c>
      <c s="72">
        <f>IF('[1]Leakage Tree Data'!AD85&lt;&gt;"",'[1]Leakage Tree Data'!AD85,"")</f>
        <v>-0.236857861422699</v>
      </c>
      <c s="72">
        <f>IF('[1]Leakage Tree Data'!AE85&lt;&gt;"",'[1]Leakage Tree Data'!AE85,"")</f>
      </c>
      <c s="73">
        <f t="shared" si="21"/>
      </c>
      <c s="73">
        <f t="shared" si="22"/>
      </c>
      <c s="73">
        <f t="shared" si="23"/>
      </c>
      <c s="73">
        <f t="shared" si="24"/>
      </c>
      <c s="74">
        <f t="shared" si="25"/>
      </c>
      <c s="74">
        <f t="shared" si="26"/>
      </c>
      <c s="69" t="str">
        <f t="shared" si="17"/>
        <v>Total US - Shop Rite</v>
      </c>
      <c s="69" t="str">
        <f t="shared" si="18"/>
        <v>Total US - GroceryX</v>
      </c>
      <c s="77"/>
    </row>
    <row r="187" spans="1:141" ht="15">
      <c r="A18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187,$AL$8:$AL$15,1,FALSE))=TRUE,IF(AND(CV187=CW187,CV187&lt;&gt;"",DI$111&lt;&gt;"",DK187&lt;&gt;""),IF(CW$101="Y",DK187-IF(ISERROR(VLOOKUP(CV187,$CA$113:$DK$300,37,FALSE))=TRUE,0,IF(VLOOKUP(CV187,$CA$113:$DK$300,37,FALSE)="",0,VLOOKUP(CV187,$CA$113:$DK$300,37,FALSE))),DK187-IF(AND(CW$102="Y",CV187=$CW$111),DI$111,0)),""),"")</f>
      </c>
      <c s="76">
        <f>IF(ISERROR(VLOOKUP(CV187,$AL$8:$AL$15,1,FALSE))=TRUE,IF(CB187&lt;&gt;"",IF(CB187&gt;0,IF(Z$4&lt;&gt;"",MIN(4,RANK(CB187,$CB$111:$CB$300)),RANK(CB187,$CB$111:$CB$300)),""),""),"")</f>
      </c>
      <c s="75">
        <f>IF(ISERROR(VLOOKUP(CV187,$AL$8:$AL$15,1,FALSE))=TRUE,IF(AND(ISERROR(FIND("NeighMkt",$CX$102))=FALSE,LEFT($CW$111,10)="ALL OUTLET",$CA187&lt;&gt;"",DK187&lt;&gt;""),"",IF(AND($CV187&lt;&gt;$CW187,$CW187=CD$110),$DK187,"")),"")</f>
      </c>
      <c s="76">
        <f>IF(ISERROR(VLOOKUP(CV187,$AL$8:$AL$15,1,FALSE))=TRUE,IF(CD187&lt;&gt;"",IF(CD187&gt;0,RANK(CD187,$CD$111:$CD$300),""),""),"")</f>
      </c>
      <c s="75">
        <f>IF(ISERROR(VLOOKUP(CV187,$AL$8:$AL$15,1,FALSE))=TRUE,IF(AND(ISERROR(FIND("NeighMkt",$CX$102))=FALSE,LEFT($CW$111,10)="ALL OUTLET",$CA187&lt;&gt;"",DK187&lt;&gt;""),"",IF(AND($CV187&lt;&gt;$CW187,$CW187=CF$110),$DK187,"")),"")</f>
      </c>
      <c s="76">
        <f>IF(ISERROR(VLOOKUP(CV187,$AL$8:$AL$15,1,FALSE))=TRUE,IF(CF187&lt;&gt;"",IF(CF187&gt;0,RANK(CF187,$CF$111:$CF$300),""),""),"")</f>
      </c>
      <c s="75">
        <f>IF(ISERROR(VLOOKUP(CV187,$AL$8:$AL$15,1,FALSE))=TRUE,IF(AND(ISERROR(FIND("NeighMkt",$CX$102))=FALSE,LEFT($CW$111,10)="ALL OUTLET",$CA187&lt;&gt;"",DK187&lt;&gt;""),"",IF(AND($CV187&lt;&gt;$CW187,$CW187=CH$110),$DK187,"")),"")</f>
      </c>
      <c s="76">
        <f>IF(ISERROR(VLOOKUP(CV187,$AL$8:$AL$15,1,FALSE))=TRUE,IF(CH187&lt;&gt;"",IF(CH187&gt;0,RANK(CH187,$CH$111:$CH$300),""),""),"")</f>
      </c>
      <c s="75">
        <f>IF(ISERROR(VLOOKUP(CV187,$AL$8:$AL$15,1,FALSE))=TRUE,IF(AND(ISERROR(FIND("NeighMkt",$CX$102))=FALSE,LEFT($CW$111,10)="ALL OUTLET",$CA187&lt;&gt;"",DK187&lt;&gt;""),"",IF($Z$4="",IF(AND($CV187&lt;&gt;$CW187,$CW187=CJ$110),$DK187,""),IF(AND($CV187&lt;&gt;$CW187,$CW187&lt;&gt;CD$110,$CW187&lt;&gt;CF$110,$CW187&lt;&gt;CH$110,$CW187&lt;&gt;$CV$111),$DK187,""))),"")</f>
      </c>
      <c s="76">
        <f>IF(ISERROR(VLOOKUP(CV187,$AL$8:$AL$15,1,FALSE))=TRUE,IF(CJ187&lt;&gt;"",IF(CJ187&gt;0,RANK(CJ187,$CJ$111:$CJ$300),""),""),"")</f>
      </c>
      <c s="75">
        <f>IF(ISERROR(VLOOKUP(CV187,$AL$8:$AL$15,1,FALSE))=TRUE,IF(AND(CV187=CW187,CV187&lt;&gt;"",DJ187&lt;&gt;""),IF(AND(ISERROR(FIND("NeighMkt",$CX$102))=FALSE,LEFT($CW$111,10)="ALL OUTLET"),DJ187-IF(ISERROR(VLOOKUP(CV187,$CA$113:$DK$300,36,FALSE))=TRUE,0,IF(VLOOKUP(CV187,$CA$113:$DK$300,36,FALSE)="",0,VLOOKUP(CV187,$CA$113:$DK$300,36,FALSE))),DJ187),""),"")</f>
      </c>
      <c s="76">
        <f>IF(ISERROR(VLOOKUP(CV187,$AL$8:$AL$15,1,FALSE))=TRUE,IF(CL187&lt;&gt;"",IF(CL187&gt;0,IF($Z$4&lt;&gt;"",MIN(4,RANK(CL187,$CL$111:$CL$300)),RANK(CL187,$CL$111:$CL$300)),""),""),"")</f>
      </c>
      <c s="75">
        <f>IF(ISERROR(VLOOKUP(CV187,$AL$8:$AL$15,1,FALSE))=TRUE,IF(AND(ISERROR(FIND("NeighMkt",$CX$102))=FALSE,LEFT($CW$111,10)="ALL OUTLET",$CA187&lt;&gt;"",DJ187&lt;&gt;""),"",IF(AND($CV187&lt;&gt;$CW187,$CW187=CN$110),$DJ187,"")),"")</f>
      </c>
      <c s="76">
        <f>IF(ISERROR(VLOOKUP(CV187,$AL$8:$AL$15,1,FALSE))=TRUE,IF(CN187&lt;&gt;"",IF(CN187&gt;0,RANK(CN187,$CN$111:$CN$300),""),""),"")</f>
      </c>
      <c s="75">
        <f>IF(ISERROR(VLOOKUP(CV187,$AL$8:$AL$15,1,FALSE))=TRUE,IF(AND(ISERROR(FIND("NeighMkt",$CX$102))=FALSE,LEFT($CW$111,10)="ALL OUTLET",$CA187&lt;&gt;"",DJ187&lt;&gt;""),"",IF(AND($CV187&lt;&gt;$CW187,$CW187=CP$110),$DJ187,"")),"")</f>
      </c>
      <c s="76">
        <f>IF(ISERROR(VLOOKUP(CV187,$AL$8:$AL$15,1,FALSE))=TRUE,IF(CP187&lt;&gt;"",IF(CP187&gt;0,RANK(CP187,$CP$111:$CP$300),""),""),"")</f>
      </c>
      <c s="75">
        <f>IF(ISERROR(VLOOKUP(CV187,$AL$8:$AL$15,1,FALSE))=TRUE,IF(AND(ISERROR(FIND("NeighMkt",$CX$102))=FALSE,LEFT($CW$111,10)="ALL OUTLET",$CA187&lt;&gt;"",DJ187&lt;&gt;""),"",IF(AND($CV187&lt;&gt;$CW187,$CW187=CR$110),$DJ187,"")),"")</f>
      </c>
      <c s="76">
        <f>IF(ISERROR(VLOOKUP(CV187,$AL$8:$AL$15,1,FALSE))=TRUE,IF(CR187&lt;&gt;"",IF(CR187&gt;0,RANK(CR187,$CR$111:$CR$300),""),""),"")</f>
      </c>
      <c s="75">
        <f>IF(ISERROR(VLOOKUP(CV187,$AL$8:$AL$15,1,FALSE))=TRUE,IF(AND(ISERROR(FIND("NeighMkt",$CX$102))=FALSE,LEFT($CW$111,10)="ALL OUTLET",$CA187&lt;&gt;"",DJ187&lt;&gt;""),"",IF($Z$4="",IF(AND($CV187&lt;&gt;$CW187,$CW187=CT$110),$DJ187,""),IF(AND($CV187&lt;&gt;$CW187,$CW187&lt;&gt;CN$110,$CW187&lt;&gt;CP$110,$CW187&lt;&gt;CR$110,$CW187&lt;&gt;$CV$111),$DJ187,""))),"")</f>
      </c>
      <c s="76">
        <f>IF(ISERROR(VLOOKUP(CV187,$AL$8:$AL$15,1,FALSE))=TRUE,IF(CT187&lt;&gt;"",IF(CT187&gt;0,RANK(CT187,$CT$111:$CT$300),""),""),"")</f>
      </c>
      <c s="65" t="str">
        <f t="shared" si="19"/>
        <v>Shoppers Food Warehouse</v>
      </c>
      <c s="65" t="str">
        <f t="shared" si="20"/>
        <v>GroceryX</v>
      </c>
      <c s="72" t="str">
        <f>IF('[1]Leakage Tree Data'!A86&lt;&gt;"",'[1]Leakage Tree Data'!A86,"")</f>
        <v>Total US - Shoppers Food Warehouse</v>
      </c>
      <c s="72" t="str">
        <f>IF('[1]Leakage Tree Data'!B86&lt;&gt;"",'[1]Leakage Tree Data'!B86,"")</f>
        <v>Total US - GroceryX</v>
      </c>
      <c s="72">
        <f>IF('[1]Leakage Tree Data'!C86&lt;&gt;"",'[1]Leakage Tree Data'!C86,"")</f>
        <v>121171760.292236</v>
      </c>
      <c s="72">
        <f>IF('[1]Leakage Tree Data'!D86&lt;&gt;"",'[1]Leakage Tree Data'!D86,"")</f>
        <v>1284351.0614624</v>
      </c>
      <c s="72">
        <f>IF('[1]Leakage Tree Data'!E86&lt;&gt;"",'[1]Leakage Tree Data'!E86,"")</f>
        <v>1.05994256282558</v>
      </c>
      <c s="72">
        <f>IF('[1]Leakage Tree Data'!F86&lt;&gt;"",'[1]Leakage Tree Data'!F86,"")</f>
        <v>119887409.230774</v>
      </c>
      <c s="72">
        <f>IF('[1]Leakage Tree Data'!G86&lt;&gt;"",'[1]Leakage Tree Data'!G86,"")</f>
        <v>98.9400574371744</v>
      </c>
      <c s="72">
        <f>IF('[1]Leakage Tree Data'!H86&lt;&gt;"",'[1]Leakage Tree Data'!H86,"")</f>
        <v>61518209.9918823</v>
      </c>
      <c s="72" t="str">
        <f>IF('[1]Leakage Tree Data'!I86&lt;&gt;"",'[1]Leakage Tree Data'!I86,"")</f>
        <v>GroceryX</v>
      </c>
      <c s="72">
        <f>IF('[1]Leakage Tree Data'!J86&lt;&gt;"",'[1]Leakage Tree Data'!J86,"")</f>
        <v>99.8024657482009</v>
      </c>
      <c s="72">
        <f>IF('[1]Leakage Tree Data'!K86&lt;&gt;"",'[1]Leakage Tree Data'!K86,"")</f>
        <v>121519.535827637</v>
      </c>
      <c s="72">
        <f>IF('[1]Leakage Tree Data'!L86&lt;&gt;"",'[1]Leakage Tree Data'!L86,"")</f>
      </c>
      <c s="72">
        <f>IF('[1]Leakage Tree Data'!M86&lt;&gt;"",'[1]Leakage Tree Data'!M86,"")</f>
      </c>
      <c s="72">
        <f>IF('[1]Leakage Tree Data'!N86&lt;&gt;"",'[1]Leakage Tree Data'!N86,"")</f>
      </c>
      <c s="72">
        <f>IF('[1]Leakage Tree Data'!O86&lt;&gt;"",'[1]Leakage Tree Data'!O86,"")</f>
        <v>14.1982161964683</v>
      </c>
      <c s="72">
        <f>IF('[1]Leakage Tree Data'!P86&lt;&gt;"",'[1]Leakage Tree Data'!P86,"")</f>
        <v>188162.104478978</v>
      </c>
      <c s="72">
        <f>IF('[1]Leakage Tree Data'!Q86&lt;&gt;"",'[1]Leakage Tree Data'!Q86,"")</f>
      </c>
      <c s="72">
        <f>IF('[1]Leakage Tree Data'!R86&lt;&gt;"",'[1]Leakage Tree Data'!R86,"")</f>
        <v>1017625.85098267</v>
      </c>
      <c s="72">
        <f>IF('[1]Leakage Tree Data'!S86&lt;&gt;"",'[1]Leakage Tree Data'!S86,"")</f>
        <v>847.352783203125</v>
      </c>
      <c s="72">
        <f>IF('[1]Leakage Tree Data'!T86&lt;&gt;"",'[1]Leakage Tree Data'!T86,"")</f>
        <v>-0.00827178922131688</v>
      </c>
      <c s="72">
        <f>IF('[1]Leakage Tree Data'!U86&lt;&gt;"",'[1]Leakage Tree Data'!U86,"")</f>
        <v>1016778.49819946</v>
      </c>
      <c s="72">
        <f>IF('[1]Leakage Tree Data'!V86&lt;&gt;"",'[1]Leakage Tree Data'!V86,"")</f>
        <v>0.00827178922131111</v>
      </c>
      <c s="72">
        <f>IF('[1]Leakage Tree Data'!W86&lt;&gt;"",'[1]Leakage Tree Data'!W86,"")</f>
        <v>-1855949.2237854</v>
      </c>
      <c s="72">
        <f>IF('[1]Leakage Tree Data'!X86&lt;&gt;"",'[1]Leakage Tree Data'!X86,"")</f>
      </c>
      <c s="72">
        <f>IF('[1]Leakage Tree Data'!Y86&lt;&gt;"",'[1]Leakage Tree Data'!Y86,"")</f>
        <v>0.00755812160572589</v>
      </c>
      <c s="72">
        <f>IF('[1]Leakage Tree Data'!Z86&lt;&gt;"",'[1]Leakage Tree Data'!Z86,"")</f>
        <v>-8456.03143310547</v>
      </c>
      <c s="72">
        <f>IF('[1]Leakage Tree Data'!AA86&lt;&gt;"",'[1]Leakage Tree Data'!AA86,"")</f>
      </c>
      <c s="72">
        <f>IF('[1]Leakage Tree Data'!AB86&lt;&gt;"",'[1]Leakage Tree Data'!AB86,"")</f>
      </c>
      <c s="72">
        <f>IF('[1]Leakage Tree Data'!AC86&lt;&gt;"",'[1]Leakage Tree Data'!AC86,"")</f>
      </c>
      <c s="72">
        <f>IF('[1]Leakage Tree Data'!AD86&lt;&gt;"",'[1]Leakage Tree Data'!AD86,"")</f>
        <v>-0.917964189743431</v>
      </c>
      <c s="72">
        <f>IF('[1]Leakage Tree Data'!AE86&lt;&gt;"",'[1]Leakage Tree Data'!AE86,"")</f>
      </c>
      <c s="73">
        <f t="shared" si="21"/>
      </c>
      <c s="73">
        <f t="shared" si="22"/>
      </c>
      <c s="73">
        <f t="shared" si="23"/>
      </c>
      <c s="73">
        <f t="shared" si="24"/>
      </c>
      <c s="74">
        <f t="shared" si="25"/>
      </c>
      <c s="74">
        <f t="shared" si="26"/>
      </c>
      <c s="69" t="str">
        <f t="shared" si="17"/>
        <v>Total US - Shoppers Food Warehouse</v>
      </c>
      <c s="69" t="str">
        <f t="shared" si="18"/>
        <v>Total US - GroceryX</v>
      </c>
      <c s="77"/>
    </row>
    <row r="188" spans="1:141" ht="15">
      <c r="A18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188,$AL$8:$AL$15,1,FALSE))=TRUE,IF(AND(CV188=CW188,CV188&lt;&gt;"",DI$111&lt;&gt;"",DK188&lt;&gt;""),IF(CW$101="Y",DK188-IF(ISERROR(VLOOKUP(CV188,$CA$113:$DK$300,37,FALSE))=TRUE,0,IF(VLOOKUP(CV188,$CA$113:$DK$300,37,FALSE)="",0,VLOOKUP(CV188,$CA$113:$DK$300,37,FALSE))),DK188-IF(AND(CW$102="Y",CV188=$CW$111),DI$111,0)),""),"")</f>
      </c>
      <c s="76">
        <f>IF(ISERROR(VLOOKUP(CV188,$AL$8:$AL$15,1,FALSE))=TRUE,IF(CB188&lt;&gt;"",IF(CB188&gt;0,IF(Z$4&lt;&gt;"",MIN(4,RANK(CB188,$CB$111:$CB$300)),RANK(CB188,$CB$111:$CB$300)),""),""),"")</f>
      </c>
      <c s="75">
        <f>IF(ISERROR(VLOOKUP(CV188,$AL$8:$AL$15,1,FALSE))=TRUE,IF(AND(ISERROR(FIND("NeighMkt",$CX$102))=FALSE,LEFT($CW$111,10)="ALL OUTLET",$CA188&lt;&gt;"",DK188&lt;&gt;""),"",IF(AND($CV188&lt;&gt;$CW188,$CW188=CD$110),$DK188,"")),"")</f>
        <v>1567163.83093262</v>
      </c>
      <c s="76">
        <f>IF(ISERROR(VLOOKUP(CV188,$AL$8:$AL$15,1,FALSE))=TRUE,IF(CD188&lt;&gt;"",IF(CD188&gt;0,RANK(CD188,$CD$111:$CD$300),""),""),"")</f>
        <v>30</v>
      </c>
      <c s="75">
        <f>IF(ISERROR(VLOOKUP(CV188,$AL$8:$AL$15,1,FALSE))=TRUE,IF(AND(ISERROR(FIND("NeighMkt",$CX$102))=FALSE,LEFT($CW$111,10)="ALL OUTLET",$CA188&lt;&gt;"",DK188&lt;&gt;""),"",IF(AND($CV188&lt;&gt;$CW188,$CW188=CF$110),$DK188,"")),"")</f>
      </c>
      <c s="76">
        <f>IF(ISERROR(VLOOKUP(CV188,$AL$8:$AL$15,1,FALSE))=TRUE,IF(CF188&lt;&gt;"",IF(CF188&gt;0,RANK(CF188,$CF$111:$CF$300),""),""),"")</f>
      </c>
      <c s="75">
        <f>IF(ISERROR(VLOOKUP(CV188,$AL$8:$AL$15,1,FALSE))=TRUE,IF(AND(ISERROR(FIND("NeighMkt",$CX$102))=FALSE,LEFT($CW$111,10)="ALL OUTLET",$CA188&lt;&gt;"",DK188&lt;&gt;""),"",IF(AND($CV188&lt;&gt;$CW188,$CW188=CH$110),$DK188,"")),"")</f>
      </c>
      <c s="76">
        <f>IF(ISERROR(VLOOKUP(CV188,$AL$8:$AL$15,1,FALSE))=TRUE,IF(CH188&lt;&gt;"",IF(CH188&gt;0,RANK(CH188,$CH$111:$CH$300),""),""),"")</f>
      </c>
      <c s="75">
        <f>IF(ISERROR(VLOOKUP(CV188,$AL$8:$AL$15,1,FALSE))=TRUE,IF(AND(ISERROR(FIND("NeighMkt",$CX$102))=FALSE,LEFT($CW$111,10)="ALL OUTLET",$CA188&lt;&gt;"",DK188&lt;&gt;""),"",IF($Z$4="",IF(AND($CV188&lt;&gt;$CW188,$CW188=CJ$110),$DK188,""),IF(AND($CV188&lt;&gt;$CW188,$CW188&lt;&gt;CD$110,$CW188&lt;&gt;CF$110,$CW188&lt;&gt;CH$110,$CW188&lt;&gt;$CV$111),$DK188,""))),"")</f>
      </c>
      <c s="76">
        <f>IF(ISERROR(VLOOKUP(CV188,$AL$8:$AL$15,1,FALSE))=TRUE,IF(CJ188&lt;&gt;"",IF(CJ188&gt;0,RANK(CJ188,$CJ$111:$CJ$300),""),""),"")</f>
      </c>
      <c s="75">
        <f>IF(ISERROR(VLOOKUP(CV188,$AL$8:$AL$15,1,FALSE))=TRUE,IF(AND(CV188=CW188,CV188&lt;&gt;"",DJ188&lt;&gt;""),IF(AND(ISERROR(FIND("NeighMkt",$CX$102))=FALSE,LEFT($CW$111,10)="ALL OUTLET"),DJ188-IF(ISERROR(VLOOKUP(CV188,$CA$113:$DK$300,36,FALSE))=TRUE,0,IF(VLOOKUP(CV188,$CA$113:$DK$300,36,FALSE)="",0,VLOOKUP(CV188,$CA$113:$DK$300,36,FALSE))),DJ188),""),"")</f>
      </c>
      <c s="76">
        <f>IF(ISERROR(VLOOKUP(CV188,$AL$8:$AL$15,1,FALSE))=TRUE,IF(CL188&lt;&gt;"",IF(CL188&gt;0,IF($Z$4&lt;&gt;"",MIN(4,RANK(CL188,$CL$111:$CL$300)),RANK(CL188,$CL$111:$CL$300)),""),""),"")</f>
      </c>
      <c s="75">
        <f>IF(ISERROR(VLOOKUP(CV188,$AL$8:$AL$15,1,FALSE))=TRUE,IF(AND(ISERROR(FIND("NeighMkt",$CX$102))=FALSE,LEFT($CW$111,10)="ALL OUTLET",$CA188&lt;&gt;"",DJ188&lt;&gt;""),"",IF(AND($CV188&lt;&gt;$CW188,$CW188=CN$110),$DJ188,"")),"")</f>
        <v>4056201.3460083</v>
      </c>
      <c s="76">
        <f>IF(ISERROR(VLOOKUP(CV188,$AL$8:$AL$15,1,FALSE))=TRUE,IF(CN188&lt;&gt;"",IF(CN188&gt;0,RANK(CN188,$CN$111:$CN$300),""),""),"")</f>
        <v>34</v>
      </c>
      <c s="75">
        <f>IF(ISERROR(VLOOKUP(CV188,$AL$8:$AL$15,1,FALSE))=TRUE,IF(AND(ISERROR(FIND("NeighMkt",$CX$102))=FALSE,LEFT($CW$111,10)="ALL OUTLET",$CA188&lt;&gt;"",DJ188&lt;&gt;""),"",IF(AND($CV188&lt;&gt;$CW188,$CW188=CP$110),$DJ188,"")),"")</f>
      </c>
      <c s="76">
        <f>IF(ISERROR(VLOOKUP(CV188,$AL$8:$AL$15,1,FALSE))=TRUE,IF(CP188&lt;&gt;"",IF(CP188&gt;0,RANK(CP188,$CP$111:$CP$300),""),""),"")</f>
      </c>
      <c s="75">
        <f>IF(ISERROR(VLOOKUP(CV188,$AL$8:$AL$15,1,FALSE))=TRUE,IF(AND(ISERROR(FIND("NeighMkt",$CX$102))=FALSE,LEFT($CW$111,10)="ALL OUTLET",$CA188&lt;&gt;"",DJ188&lt;&gt;""),"",IF(AND($CV188&lt;&gt;$CW188,$CW188=CR$110),$DJ188,"")),"")</f>
      </c>
      <c s="76">
        <f>IF(ISERROR(VLOOKUP(CV188,$AL$8:$AL$15,1,FALSE))=TRUE,IF(CR188&lt;&gt;"",IF(CR188&gt;0,RANK(CR188,$CR$111:$CR$300),""),""),"")</f>
      </c>
      <c s="75">
        <f>IF(ISERROR(VLOOKUP(CV188,$AL$8:$AL$15,1,FALSE))=TRUE,IF(AND(ISERROR(FIND("NeighMkt",$CX$102))=FALSE,LEFT($CW$111,10)="ALL OUTLET",$CA188&lt;&gt;"",DJ188&lt;&gt;""),"",IF($Z$4="",IF(AND($CV188&lt;&gt;$CW188,$CW188=CT$110),$DJ188,""),IF(AND($CV188&lt;&gt;$CW188,$CW188&lt;&gt;CN$110,$CW188&lt;&gt;CP$110,$CW188&lt;&gt;CR$110,$CW188&lt;&gt;$CV$111),$DJ188,""))),"")</f>
      </c>
      <c s="76">
        <f>IF(ISERROR(VLOOKUP(CV188,$AL$8:$AL$15,1,FALSE))=TRUE,IF(CT188&lt;&gt;"",IF(CT188&gt;0,RANK(CT188,$CT$111:$CT$300),""),""),"")</f>
      </c>
      <c s="65" t="str">
        <f t="shared" si="19"/>
        <v>Smart &amp; Final</v>
      </c>
      <c s="65" t="str">
        <f t="shared" si="20"/>
        <v>GroceryX</v>
      </c>
      <c s="72" t="str">
        <f>IF('[1]Leakage Tree Data'!A87&lt;&gt;"",'[1]Leakage Tree Data'!A87,"")</f>
        <v>Total US - Smart &amp; Final</v>
      </c>
      <c s="72" t="str">
        <f>IF('[1]Leakage Tree Data'!B87&lt;&gt;"",'[1]Leakage Tree Data'!B87,"")</f>
        <v>Total US - GroceryX</v>
      </c>
      <c s="72">
        <f>IF('[1]Leakage Tree Data'!C87&lt;&gt;"",'[1]Leakage Tree Data'!C87,"")</f>
        <v>121171760.292236</v>
      </c>
      <c s="72">
        <f>IF('[1]Leakage Tree Data'!D87&lt;&gt;"",'[1]Leakage Tree Data'!D87,"")</f>
        <v>4983670.36181641</v>
      </c>
      <c s="72">
        <f>IF('[1]Leakage Tree Data'!E87&lt;&gt;"",'[1]Leakage Tree Data'!E87,"")</f>
        <v>4.11289755120915</v>
      </c>
      <c s="72">
        <f>IF('[1]Leakage Tree Data'!F87&lt;&gt;"",'[1]Leakage Tree Data'!F87,"")</f>
        <v>116188089.93042</v>
      </c>
      <c s="72">
        <f>IF('[1]Leakage Tree Data'!G87&lt;&gt;"",'[1]Leakage Tree Data'!G87,"")</f>
        <v>95.8871024487909</v>
      </c>
      <c s="72">
        <f>IF('[1]Leakage Tree Data'!H87&lt;&gt;"",'[1]Leakage Tree Data'!H87,"")</f>
        <v>61518209.9918823</v>
      </c>
      <c s="72" t="str">
        <f>IF('[1]Leakage Tree Data'!I87&lt;&gt;"",'[1]Leakage Tree Data'!I87,"")</f>
        <v>GroceryX</v>
      </c>
      <c s="72">
        <f>IF('[1]Leakage Tree Data'!J87&lt;&gt;"",'[1]Leakage Tree Data'!J87,"")</f>
        <v>99.4194529555566</v>
      </c>
      <c s="72">
        <f>IF('[1]Leakage Tree Data'!K87&lt;&gt;"",'[1]Leakage Tree Data'!K87,"")</f>
        <v>357142.149902344</v>
      </c>
      <c s="72">
        <f>IF('[1]Leakage Tree Data'!L87&lt;&gt;"",'[1]Leakage Tree Data'!L87,"")</f>
        <v>1567163.83093262</v>
      </c>
      <c s="72">
        <f>IF('[1]Leakage Tree Data'!M87&lt;&gt;"",'[1]Leakage Tree Data'!M87,"")</f>
        <v>4056201.3460083</v>
      </c>
      <c s="72">
        <f>IF('[1]Leakage Tree Data'!N87&lt;&gt;"",'[1]Leakage Tree Data'!N87,"")</f>
        <v>1567163.83093262</v>
      </c>
      <c s="72">
        <f>IF('[1]Leakage Tree Data'!O87&lt;&gt;"",'[1]Leakage Tree Data'!O87,"")</f>
        <v>9.91365571496238</v>
      </c>
      <c s="72">
        <f>IF('[1]Leakage Tree Data'!P87&lt;&gt;"",'[1]Leakage Tree Data'!P87,"")</f>
        <v>702390.222367713</v>
      </c>
      <c s="72">
        <f>IF('[1]Leakage Tree Data'!Q87&lt;&gt;"",'[1]Leakage Tree Data'!Q87,"")</f>
      </c>
      <c s="72">
        <f>IF('[1]Leakage Tree Data'!R87&lt;&gt;"",'[1]Leakage Tree Data'!R87,"")</f>
        <v>1017625.85098267</v>
      </c>
      <c s="72">
        <f>IF('[1]Leakage Tree Data'!S87&lt;&gt;"",'[1]Leakage Tree Data'!S87,"")</f>
        <v>504426.083251953</v>
      </c>
      <c s="72">
        <f>IF('[1]Leakage Tree Data'!T87&lt;&gt;"",'[1]Leakage Tree Data'!T87,"")</f>
        <v>0.384982320165253</v>
      </c>
      <c s="72">
        <f>IF('[1]Leakage Tree Data'!U87&lt;&gt;"",'[1]Leakage Tree Data'!U87,"")</f>
        <v>513199.767730713</v>
      </c>
      <c s="72">
        <f>IF('[1]Leakage Tree Data'!V87&lt;&gt;"",'[1]Leakage Tree Data'!V87,"")</f>
        <v>-0.38498232016525</v>
      </c>
      <c s="72">
        <f>IF('[1]Leakage Tree Data'!W87&lt;&gt;"",'[1]Leakage Tree Data'!W87,"")</f>
        <v>-1855949.2237854</v>
      </c>
      <c s="72">
        <f>IF('[1]Leakage Tree Data'!X87&lt;&gt;"",'[1]Leakage Tree Data'!X87,"")</f>
      </c>
      <c s="72">
        <f>IF('[1]Leakage Tree Data'!Y87&lt;&gt;"",'[1]Leakage Tree Data'!Y87,"")</f>
        <v>-0.119882205270642</v>
      </c>
      <c s="72">
        <f>IF('[1]Leakage Tree Data'!Z87&lt;&gt;"",'[1]Leakage Tree Data'!Z87,"")</f>
        <v>65199.6812744141</v>
      </c>
      <c s="72">
        <f>IF('[1]Leakage Tree Data'!AA87&lt;&gt;"",'[1]Leakage Tree Data'!AA87,"")</f>
        <v>198737.271118164</v>
      </c>
      <c s="72">
        <f>IF('[1]Leakage Tree Data'!AB87&lt;&gt;"",'[1]Leakage Tree Data'!AB87,"")</f>
        <v>749545.241649628</v>
      </c>
      <c s="72">
        <f>IF('[1]Leakage Tree Data'!AC87&lt;&gt;"",'[1]Leakage Tree Data'!AC87,"")</f>
        <v>198737.271118164</v>
      </c>
      <c s="72">
        <f>IF('[1]Leakage Tree Data'!AD87&lt;&gt;"",'[1]Leakage Tree Data'!AD87,"")</f>
        <v>0.651435761029122</v>
      </c>
      <c s="72">
        <f>IF('[1]Leakage Tree Data'!AE87&lt;&gt;"",'[1]Leakage Tree Data'!AE87,"")</f>
      </c>
      <c s="73">
        <f t="shared" si="21"/>
      </c>
      <c s="73">
        <f t="shared" si="22"/>
      </c>
      <c s="73">
        <f t="shared" si="23"/>
      </c>
      <c s="73">
        <f t="shared" si="24"/>
      </c>
      <c s="74">
        <f t="shared" si="25"/>
      </c>
      <c s="74">
        <f t="shared" si="26"/>
      </c>
      <c s="69" t="str">
        <f t="shared" si="17"/>
        <v>Total US - Smart &amp; Final</v>
      </c>
      <c s="69" t="str">
        <f t="shared" si="18"/>
        <v>Total US - GroceryX</v>
      </c>
      <c s="77"/>
    </row>
    <row r="189" spans="1:141" ht="15">
      <c r="A18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189,$AL$8:$AL$15,1,FALSE))=TRUE,IF(AND(CV189=CW189,CV189&lt;&gt;"",DI$111&lt;&gt;"",DK189&lt;&gt;""),IF(CW$101="Y",DK189-IF(ISERROR(VLOOKUP(CV189,$CA$113:$DK$300,37,FALSE))=TRUE,0,IF(VLOOKUP(CV189,$CA$113:$DK$300,37,FALSE)="",0,VLOOKUP(CV189,$CA$113:$DK$300,37,FALSE))),DK189-IF(AND(CW$102="Y",CV189=$CW$111),DI$111,0)),""),"")</f>
      </c>
      <c s="76">
        <f>IF(ISERROR(VLOOKUP(CV189,$AL$8:$AL$15,1,FALSE))=TRUE,IF(CB189&lt;&gt;"",IF(CB189&gt;0,IF(Z$4&lt;&gt;"",MIN(4,RANK(CB189,$CB$111:$CB$300)),RANK(CB189,$CB$111:$CB$300)),""),""),"")</f>
      </c>
      <c s="75">
        <f>IF(ISERROR(VLOOKUP(CV189,$AL$8:$AL$15,1,FALSE))=TRUE,IF(AND(ISERROR(FIND("NeighMkt",$CX$102))=FALSE,LEFT($CW$111,10)="ALL OUTLET",$CA189&lt;&gt;"",DK189&lt;&gt;""),"",IF(AND($CV189&lt;&gt;$CW189,$CW189=CD$110),$DK189,"")),"")</f>
        <v>2078244.84509277</v>
      </c>
      <c s="76">
        <f>IF(ISERROR(VLOOKUP(CV189,$AL$8:$AL$15,1,FALSE))=TRUE,IF(CD189&lt;&gt;"",IF(CD189&gt;0,RANK(CD189,$CD$111:$CD$300),""),""),"")</f>
        <v>21</v>
      </c>
      <c s="75">
        <f>IF(ISERROR(VLOOKUP(CV189,$AL$8:$AL$15,1,FALSE))=TRUE,IF(AND(ISERROR(FIND("NeighMkt",$CX$102))=FALSE,LEFT($CW$111,10)="ALL OUTLET",$CA189&lt;&gt;"",DK189&lt;&gt;""),"",IF(AND($CV189&lt;&gt;$CW189,$CW189=CF$110),$DK189,"")),"")</f>
      </c>
      <c s="76">
        <f>IF(ISERROR(VLOOKUP(CV189,$AL$8:$AL$15,1,FALSE))=TRUE,IF(CF189&lt;&gt;"",IF(CF189&gt;0,RANK(CF189,$CF$111:$CF$300),""),""),"")</f>
      </c>
      <c s="75">
        <f>IF(ISERROR(VLOOKUP(CV189,$AL$8:$AL$15,1,FALSE))=TRUE,IF(AND(ISERROR(FIND("NeighMkt",$CX$102))=FALSE,LEFT($CW$111,10)="ALL OUTLET",$CA189&lt;&gt;"",DK189&lt;&gt;""),"",IF(AND($CV189&lt;&gt;$CW189,$CW189=CH$110),$DK189,"")),"")</f>
      </c>
      <c s="76">
        <f>IF(ISERROR(VLOOKUP(CV189,$AL$8:$AL$15,1,FALSE))=TRUE,IF(CH189&lt;&gt;"",IF(CH189&gt;0,RANK(CH189,$CH$111:$CH$300),""),""),"")</f>
      </c>
      <c s="75">
        <f>IF(ISERROR(VLOOKUP(CV189,$AL$8:$AL$15,1,FALSE))=TRUE,IF(AND(ISERROR(FIND("NeighMkt",$CX$102))=FALSE,LEFT($CW$111,10)="ALL OUTLET",$CA189&lt;&gt;"",DK189&lt;&gt;""),"",IF($Z$4="",IF(AND($CV189&lt;&gt;$CW189,$CW189=CJ$110),$DK189,""),IF(AND($CV189&lt;&gt;$CW189,$CW189&lt;&gt;CD$110,$CW189&lt;&gt;CF$110,$CW189&lt;&gt;CH$110,$CW189&lt;&gt;$CV$111),$DK189,""))),"")</f>
      </c>
      <c s="76">
        <f>IF(ISERROR(VLOOKUP(CV189,$AL$8:$AL$15,1,FALSE))=TRUE,IF(CJ189&lt;&gt;"",IF(CJ189&gt;0,RANK(CJ189,$CJ$111:$CJ$300),""),""),"")</f>
      </c>
      <c s="75">
        <f>IF(ISERROR(VLOOKUP(CV189,$AL$8:$AL$15,1,FALSE))=TRUE,IF(AND(CV189=CW189,CV189&lt;&gt;"",DJ189&lt;&gt;""),IF(AND(ISERROR(FIND("NeighMkt",$CX$102))=FALSE,LEFT($CW$111,10)="ALL OUTLET"),DJ189-IF(ISERROR(VLOOKUP(CV189,$CA$113:$DK$300,36,FALSE))=TRUE,0,IF(VLOOKUP(CV189,$CA$113:$DK$300,36,FALSE)="",0,VLOOKUP(CV189,$CA$113:$DK$300,36,FALSE))),DJ189),""),"")</f>
      </c>
      <c s="76">
        <f>IF(ISERROR(VLOOKUP(CV189,$AL$8:$AL$15,1,FALSE))=TRUE,IF(CL189&lt;&gt;"",IF(CL189&gt;0,IF($Z$4&lt;&gt;"",MIN(4,RANK(CL189,$CL$111:$CL$300)),RANK(CL189,$CL$111:$CL$300)),""),""),"")</f>
      </c>
      <c s="75">
        <f>IF(ISERROR(VLOOKUP(CV189,$AL$8:$AL$15,1,FALSE))=TRUE,IF(AND(ISERROR(FIND("NeighMkt",$CX$102))=FALSE,LEFT($CW$111,10)="ALL OUTLET",$CA189&lt;&gt;"",DJ189&lt;&gt;""),"",IF(AND($CV189&lt;&gt;$CW189,$CW189=CN$110),$DJ189,"")),"")</f>
        <v>5901943.52166748</v>
      </c>
      <c s="76">
        <f>IF(ISERROR(VLOOKUP(CV189,$AL$8:$AL$15,1,FALSE))=TRUE,IF(CN189&lt;&gt;"",IF(CN189&gt;0,RANK(CN189,$CN$111:$CN$300),""),""),"")</f>
        <v>27</v>
      </c>
      <c s="75">
        <f>IF(ISERROR(VLOOKUP(CV189,$AL$8:$AL$15,1,FALSE))=TRUE,IF(AND(ISERROR(FIND("NeighMkt",$CX$102))=FALSE,LEFT($CW$111,10)="ALL OUTLET",$CA189&lt;&gt;"",DJ189&lt;&gt;""),"",IF(AND($CV189&lt;&gt;$CW189,$CW189=CP$110),$DJ189,"")),"")</f>
      </c>
      <c s="76">
        <f>IF(ISERROR(VLOOKUP(CV189,$AL$8:$AL$15,1,FALSE))=TRUE,IF(CP189&lt;&gt;"",IF(CP189&gt;0,RANK(CP189,$CP$111:$CP$300),""),""),"")</f>
      </c>
      <c s="75">
        <f>IF(ISERROR(VLOOKUP(CV189,$AL$8:$AL$15,1,FALSE))=TRUE,IF(AND(ISERROR(FIND("NeighMkt",$CX$102))=FALSE,LEFT($CW$111,10)="ALL OUTLET",$CA189&lt;&gt;"",DJ189&lt;&gt;""),"",IF(AND($CV189&lt;&gt;$CW189,$CW189=CR$110),$DJ189,"")),"")</f>
      </c>
      <c s="76">
        <f>IF(ISERROR(VLOOKUP(CV189,$AL$8:$AL$15,1,FALSE))=TRUE,IF(CR189&lt;&gt;"",IF(CR189&gt;0,RANK(CR189,$CR$111:$CR$300),""),""),"")</f>
      </c>
      <c s="75">
        <f>IF(ISERROR(VLOOKUP(CV189,$AL$8:$AL$15,1,FALSE))=TRUE,IF(AND(ISERROR(FIND("NeighMkt",$CX$102))=FALSE,LEFT($CW$111,10)="ALL OUTLET",$CA189&lt;&gt;"",DJ189&lt;&gt;""),"",IF($Z$4="",IF(AND($CV189&lt;&gt;$CW189,$CW189=CT$110),$DJ189,""),IF(AND($CV189&lt;&gt;$CW189,$CW189&lt;&gt;CN$110,$CW189&lt;&gt;CP$110,$CW189&lt;&gt;CR$110,$CW189&lt;&gt;$CV$111),$DJ189,""))),"")</f>
      </c>
      <c s="76">
        <f>IF(ISERROR(VLOOKUP(CV189,$AL$8:$AL$15,1,FALSE))=TRUE,IF(CT189&lt;&gt;"",IF(CT189&gt;0,RANK(CT189,$CT$111:$CT$300),""),""),"")</f>
      </c>
      <c s="65" t="str">
        <f t="shared" si="19"/>
        <v>Smiths Food &amp; Drug</v>
      </c>
      <c s="65" t="str">
        <f t="shared" si="20"/>
        <v>GroceryX</v>
      </c>
      <c s="72" t="str">
        <f>IF('[1]Leakage Tree Data'!A88&lt;&gt;"",'[1]Leakage Tree Data'!A88,"")</f>
        <v>Total US - Smiths Food &amp; Drug</v>
      </c>
      <c s="72" t="str">
        <f>IF('[1]Leakage Tree Data'!B88&lt;&gt;"",'[1]Leakage Tree Data'!B88,"")</f>
        <v>Total US - GroceryX</v>
      </c>
      <c s="72">
        <f>IF('[1]Leakage Tree Data'!C88&lt;&gt;"",'[1]Leakage Tree Data'!C88,"")</f>
        <v>121171760.292236</v>
      </c>
      <c s="72">
        <f>IF('[1]Leakage Tree Data'!D88&lt;&gt;"",'[1]Leakage Tree Data'!D88,"")</f>
        <v>2524546.98620605</v>
      </c>
      <c s="72">
        <f>IF('[1]Leakage Tree Data'!E88&lt;&gt;"",'[1]Leakage Tree Data'!E88,"")</f>
        <v>2.08344500411438</v>
      </c>
      <c s="72">
        <f>IF('[1]Leakage Tree Data'!F88&lt;&gt;"",'[1]Leakage Tree Data'!F88,"")</f>
        <v>118647213.30603</v>
      </c>
      <c s="72">
        <f>IF('[1]Leakage Tree Data'!G88&lt;&gt;"",'[1]Leakage Tree Data'!G88,"")</f>
        <v>97.9165549958856</v>
      </c>
      <c s="72">
        <f>IF('[1]Leakage Tree Data'!H88&lt;&gt;"",'[1]Leakage Tree Data'!H88,"")</f>
        <v>61518209.9918823</v>
      </c>
      <c s="72" t="str">
        <f>IF('[1]Leakage Tree Data'!I88&lt;&gt;"",'[1]Leakage Tree Data'!I88,"")</f>
        <v>GroceryX</v>
      </c>
      <c s="72">
        <f>IF('[1]Leakage Tree Data'!J88&lt;&gt;"",'[1]Leakage Tree Data'!J88,"")</f>
        <v>99.2109625114258</v>
      </c>
      <c s="72">
        <f>IF('[1]Leakage Tree Data'!K88&lt;&gt;"",'[1]Leakage Tree Data'!K88,"")</f>
        <v>485401.739135742</v>
      </c>
      <c s="72">
        <f>IF('[1]Leakage Tree Data'!L88&lt;&gt;"",'[1]Leakage Tree Data'!L88,"")</f>
        <v>2078244.84509277</v>
      </c>
      <c s="72">
        <f>IF('[1]Leakage Tree Data'!M88&lt;&gt;"",'[1]Leakage Tree Data'!M88,"")</f>
        <v>5901943.52166748</v>
      </c>
      <c s="72">
        <f>IF('[1]Leakage Tree Data'!N88&lt;&gt;"",'[1]Leakage Tree Data'!N88,"")</f>
        <v>2078244.84509277</v>
      </c>
      <c s="72">
        <f>IF('[1]Leakage Tree Data'!O88&lt;&gt;"",'[1]Leakage Tree Data'!O88,"")</f>
        <v>39.7951156518398</v>
      </c>
      <c s="72">
        <f>IF('[1]Leakage Tree Data'!P88&lt;&gt;"",'[1]Leakage Tree Data'!P88,"")</f>
        <v>563442.189853838</v>
      </c>
      <c s="72">
        <f>IF('[1]Leakage Tree Data'!Q88&lt;&gt;"",'[1]Leakage Tree Data'!Q88,"")</f>
      </c>
      <c s="72">
        <f>IF('[1]Leakage Tree Data'!R88&lt;&gt;"",'[1]Leakage Tree Data'!R88,"")</f>
        <v>1017625.85098267</v>
      </c>
      <c s="72">
        <f>IF('[1]Leakage Tree Data'!S88&lt;&gt;"",'[1]Leakage Tree Data'!S88,"")</f>
        <v>-22005.8948974609</v>
      </c>
      <c s="72">
        <f>IF('[1]Leakage Tree Data'!T88&lt;&gt;"",'[1]Leakage Tree Data'!T88,"")</f>
        <v>-0.0359601191014041</v>
      </c>
      <c s="72">
        <f>IF('[1]Leakage Tree Data'!U88&lt;&gt;"",'[1]Leakage Tree Data'!U88,"")</f>
        <v>1039631.74588013</v>
      </c>
      <c s="72">
        <f>IF('[1]Leakage Tree Data'!V88&lt;&gt;"",'[1]Leakage Tree Data'!V88,"")</f>
        <v>0.0359601191014036</v>
      </c>
      <c s="72">
        <f>IF('[1]Leakage Tree Data'!W88&lt;&gt;"",'[1]Leakage Tree Data'!W88,"")</f>
        <v>-1855949.2237854</v>
      </c>
      <c s="72">
        <f>IF('[1]Leakage Tree Data'!X88&lt;&gt;"",'[1]Leakage Tree Data'!X88,"")</f>
      </c>
      <c s="72">
        <f>IF('[1]Leakage Tree Data'!Y88&lt;&gt;"",'[1]Leakage Tree Data'!Y88,"")</f>
        <v>-0.00435171290169478</v>
      </c>
      <c s="72">
        <f>IF('[1]Leakage Tree Data'!Z88&lt;&gt;"",'[1]Leakage Tree Data'!Z88,"")</f>
        <v>-11886.2736816406</v>
      </c>
      <c s="72">
        <f>IF('[1]Leakage Tree Data'!AA88&lt;&gt;"",'[1]Leakage Tree Data'!AA88,"")</f>
        <v>145741.615600586</v>
      </c>
      <c s="72">
        <f>IF('[1]Leakage Tree Data'!AB88&lt;&gt;"",'[1]Leakage Tree Data'!AB88,"")</f>
        <v>-327588.769889832</v>
      </c>
      <c s="72">
        <f>IF('[1]Leakage Tree Data'!AC88&lt;&gt;"",'[1]Leakage Tree Data'!AC88,"")</f>
        <v>145741.615600586</v>
      </c>
      <c s="72">
        <f>IF('[1]Leakage Tree Data'!AD88&lt;&gt;"",'[1]Leakage Tree Data'!AD88,"")</f>
        <v>1.83187705100158</v>
      </c>
      <c s="72">
        <f>IF('[1]Leakage Tree Data'!AE88&lt;&gt;"",'[1]Leakage Tree Data'!AE88,"")</f>
      </c>
      <c s="73">
        <f t="shared" si="21"/>
      </c>
      <c s="73">
        <f t="shared" si="22"/>
      </c>
      <c s="73">
        <f t="shared" si="23"/>
      </c>
      <c s="73">
        <f t="shared" si="24"/>
      </c>
      <c s="74">
        <f t="shared" si="25"/>
      </c>
      <c s="74">
        <f t="shared" si="26"/>
      </c>
      <c s="69" t="str">
        <f t="shared" si="17"/>
        <v>Total US - Smiths Food &amp; Drug</v>
      </c>
      <c s="69" t="str">
        <f t="shared" si="18"/>
        <v>Total US - GroceryX</v>
      </c>
      <c s="77"/>
    </row>
    <row r="190" spans="1:141" ht="15">
      <c r="A19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190,$AL$8:$AL$15,1,FALSE))=TRUE,IF(AND(CV190=CW190,CV190&lt;&gt;"",DI$111&lt;&gt;"",DK190&lt;&gt;""),IF(CW$101="Y",DK190-IF(ISERROR(VLOOKUP(CV190,$CA$113:$DK$300,37,FALSE))=TRUE,0,IF(VLOOKUP(CV190,$CA$113:$DK$300,37,FALSE)="",0,VLOOKUP(CV190,$CA$113:$DK$300,37,FALSE))),DK190-IF(AND(CW$102="Y",CV190=$CW$111),DI$111,0)),""),"")</f>
      </c>
      <c s="76">
        <f>IF(ISERROR(VLOOKUP(CV190,$AL$8:$AL$15,1,FALSE))=TRUE,IF(CB190&lt;&gt;"",IF(CB190&gt;0,IF(Z$4&lt;&gt;"",MIN(4,RANK(CB190,$CB$111:$CB$300)),RANK(CB190,$CB$111:$CB$300)),""),""),"")</f>
      </c>
      <c s="75">
        <f>IF(ISERROR(VLOOKUP(CV190,$AL$8:$AL$15,1,FALSE))=TRUE,IF(AND(ISERROR(FIND("NeighMkt",$CX$102))=FALSE,LEFT($CW$111,10)="ALL OUTLET",$CA190&lt;&gt;"",DK190&lt;&gt;""),"",IF(AND($CV190&lt;&gt;$CW190,$CW190=CD$110),$DK190,"")),"")</f>
      </c>
      <c s="76">
        <f>IF(ISERROR(VLOOKUP(CV190,$AL$8:$AL$15,1,FALSE))=TRUE,IF(CD190&lt;&gt;"",IF(CD190&gt;0,RANK(CD190,$CD$111:$CD$300),""),""),"")</f>
      </c>
      <c s="75">
        <f>IF(ISERROR(VLOOKUP(CV190,$AL$8:$AL$15,1,FALSE))=TRUE,IF(AND(ISERROR(FIND("NeighMkt",$CX$102))=FALSE,LEFT($CW$111,10)="ALL OUTLET",$CA190&lt;&gt;"",DK190&lt;&gt;""),"",IF(AND($CV190&lt;&gt;$CW190,$CW190=CF$110),$DK190,"")),"")</f>
      </c>
      <c s="76">
        <f>IF(ISERROR(VLOOKUP(CV190,$AL$8:$AL$15,1,FALSE))=TRUE,IF(CF190&lt;&gt;"",IF(CF190&gt;0,RANK(CF190,$CF$111:$CF$300),""),""),"")</f>
      </c>
      <c s="75">
        <f>IF(ISERROR(VLOOKUP(CV190,$AL$8:$AL$15,1,FALSE))=TRUE,IF(AND(ISERROR(FIND("NeighMkt",$CX$102))=FALSE,LEFT($CW$111,10)="ALL OUTLET",$CA190&lt;&gt;"",DK190&lt;&gt;""),"",IF(AND($CV190&lt;&gt;$CW190,$CW190=CH$110),$DK190,"")),"")</f>
      </c>
      <c s="76">
        <f>IF(ISERROR(VLOOKUP(CV190,$AL$8:$AL$15,1,FALSE))=TRUE,IF(CH190&lt;&gt;"",IF(CH190&gt;0,RANK(CH190,$CH$111:$CH$300),""),""),"")</f>
      </c>
      <c s="75">
        <f>IF(ISERROR(VLOOKUP(CV190,$AL$8:$AL$15,1,FALSE))=TRUE,IF(AND(ISERROR(FIND("NeighMkt",$CX$102))=FALSE,LEFT($CW$111,10)="ALL OUTLET",$CA190&lt;&gt;"",DK190&lt;&gt;""),"",IF($Z$4="",IF(AND($CV190&lt;&gt;$CW190,$CW190=CJ$110),$DK190,""),IF(AND($CV190&lt;&gt;$CW190,$CW190&lt;&gt;CD$110,$CW190&lt;&gt;CF$110,$CW190&lt;&gt;CH$110,$CW190&lt;&gt;$CV$111),$DK190,""))),"")</f>
      </c>
      <c s="76">
        <f>IF(ISERROR(VLOOKUP(CV190,$AL$8:$AL$15,1,FALSE))=TRUE,IF(CJ190&lt;&gt;"",IF(CJ190&gt;0,RANK(CJ190,$CJ$111:$CJ$300),""),""),"")</f>
      </c>
      <c s="75">
        <f>IF(ISERROR(VLOOKUP(CV190,$AL$8:$AL$15,1,FALSE))=TRUE,IF(AND(CV190=CW190,CV190&lt;&gt;"",DJ190&lt;&gt;""),IF(AND(ISERROR(FIND("NeighMkt",$CX$102))=FALSE,LEFT($CW$111,10)="ALL OUTLET"),DJ190-IF(ISERROR(VLOOKUP(CV190,$CA$113:$DK$300,36,FALSE))=TRUE,0,IF(VLOOKUP(CV190,$CA$113:$DK$300,36,FALSE)="",0,VLOOKUP(CV190,$CA$113:$DK$300,36,FALSE))),DJ190),""),"")</f>
      </c>
      <c s="76">
        <f>IF(ISERROR(VLOOKUP(CV190,$AL$8:$AL$15,1,FALSE))=TRUE,IF(CL190&lt;&gt;"",IF(CL190&gt;0,IF($Z$4&lt;&gt;"",MIN(4,RANK(CL190,$CL$111:$CL$300)),RANK(CL190,$CL$111:$CL$300)),""),""),"")</f>
      </c>
      <c s="75">
        <f>IF(ISERROR(VLOOKUP(CV190,$AL$8:$AL$15,1,FALSE))=TRUE,IF(AND(ISERROR(FIND("NeighMkt",$CX$102))=FALSE,LEFT($CW$111,10)="ALL OUTLET",$CA190&lt;&gt;"",DJ190&lt;&gt;""),"",IF(AND($CV190&lt;&gt;$CW190,$CW190=CN$110),$DJ190,"")),"")</f>
      </c>
      <c s="76">
        <f>IF(ISERROR(VLOOKUP(CV190,$AL$8:$AL$15,1,FALSE))=TRUE,IF(CN190&lt;&gt;"",IF(CN190&gt;0,RANK(CN190,$CN$111:$CN$300),""),""),"")</f>
      </c>
      <c s="75">
        <f>IF(ISERROR(VLOOKUP(CV190,$AL$8:$AL$15,1,FALSE))=TRUE,IF(AND(ISERROR(FIND("NeighMkt",$CX$102))=FALSE,LEFT($CW$111,10)="ALL OUTLET",$CA190&lt;&gt;"",DJ190&lt;&gt;""),"",IF(AND($CV190&lt;&gt;$CW190,$CW190=CP$110),$DJ190,"")),"")</f>
      </c>
      <c s="76">
        <f>IF(ISERROR(VLOOKUP(CV190,$AL$8:$AL$15,1,FALSE))=TRUE,IF(CP190&lt;&gt;"",IF(CP190&gt;0,RANK(CP190,$CP$111:$CP$300),""),""),"")</f>
      </c>
      <c s="75">
        <f>IF(ISERROR(VLOOKUP(CV190,$AL$8:$AL$15,1,FALSE))=TRUE,IF(AND(ISERROR(FIND("NeighMkt",$CX$102))=FALSE,LEFT($CW$111,10)="ALL OUTLET",$CA190&lt;&gt;"",DJ190&lt;&gt;""),"",IF(AND($CV190&lt;&gt;$CW190,$CW190=CR$110),$DJ190,"")),"")</f>
      </c>
      <c s="76">
        <f>IF(ISERROR(VLOOKUP(CV190,$AL$8:$AL$15,1,FALSE))=TRUE,IF(CR190&lt;&gt;"",IF(CR190&gt;0,RANK(CR190,$CR$111:$CR$300),""),""),"")</f>
      </c>
      <c s="75">
        <f>IF(ISERROR(VLOOKUP(CV190,$AL$8:$AL$15,1,FALSE))=TRUE,IF(AND(ISERROR(FIND("NeighMkt",$CX$102))=FALSE,LEFT($CW$111,10)="ALL OUTLET",$CA190&lt;&gt;"",DJ190&lt;&gt;""),"",IF($Z$4="",IF(AND($CV190&lt;&gt;$CW190,$CW190=CT$110),$DJ190,""),IF(AND($CV190&lt;&gt;$CW190,$CW190&lt;&gt;CN$110,$CW190&lt;&gt;CP$110,$CW190&lt;&gt;CR$110,$CW190&lt;&gt;$CV$111),$DJ190,""))),"")</f>
      </c>
      <c s="76">
        <f>IF(ISERROR(VLOOKUP(CV190,$AL$8:$AL$15,1,FALSE))=TRUE,IF(CT190&lt;&gt;"",IF(CT190&gt;0,RANK(CT190,$CT$111:$CT$300),""),""),"")</f>
      </c>
      <c s="65" t="str">
        <f t="shared" si="19"/>
        <v>Sprouts Farmers Market</v>
      </c>
      <c s="65" t="str">
        <f t="shared" si="20"/>
        <v>GroceryX</v>
      </c>
      <c s="72" t="str">
        <f>IF('[1]Leakage Tree Data'!A89&lt;&gt;"",'[1]Leakage Tree Data'!A89,"")</f>
        <v>Total US - Sprouts Farmers Market</v>
      </c>
      <c s="72" t="str">
        <f>IF('[1]Leakage Tree Data'!B89&lt;&gt;"",'[1]Leakage Tree Data'!B89,"")</f>
        <v>Total US - GroceryX</v>
      </c>
      <c s="72">
        <f>IF('[1]Leakage Tree Data'!C89&lt;&gt;"",'[1]Leakage Tree Data'!C89,"")</f>
        <v>121171760.292236</v>
      </c>
      <c s="72">
        <f>IF('[1]Leakage Tree Data'!D89&lt;&gt;"",'[1]Leakage Tree Data'!D89,"")</f>
        <v>7411138.09381104</v>
      </c>
      <c s="72">
        <f>IF('[1]Leakage Tree Data'!E89&lt;&gt;"",'[1]Leakage Tree Data'!E89,"")</f>
        <v>6.11622549341299</v>
      </c>
      <c s="72">
        <f>IF('[1]Leakage Tree Data'!F89&lt;&gt;"",'[1]Leakage Tree Data'!F89,"")</f>
        <v>113760622.198425</v>
      </c>
      <c s="72">
        <f>IF('[1]Leakage Tree Data'!G89&lt;&gt;"",'[1]Leakage Tree Data'!G89,"")</f>
        <v>93.883774506587</v>
      </c>
      <c s="72">
        <f>IF('[1]Leakage Tree Data'!H89&lt;&gt;"",'[1]Leakage Tree Data'!H89,"")</f>
        <v>61518209.9918823</v>
      </c>
      <c s="72" t="str">
        <f>IF('[1]Leakage Tree Data'!I89&lt;&gt;"",'[1]Leakage Tree Data'!I89,"")</f>
        <v>GroceryX</v>
      </c>
      <c s="72">
        <f>IF('[1]Leakage Tree Data'!J89&lt;&gt;"",'[1]Leakage Tree Data'!J89,"")</f>
      </c>
      <c s="72">
        <f>IF('[1]Leakage Tree Data'!K89&lt;&gt;"",'[1]Leakage Tree Data'!K89,"")</f>
      </c>
      <c s="72">
        <f>IF('[1]Leakage Tree Data'!L89&lt;&gt;"",'[1]Leakage Tree Data'!L89,"")</f>
      </c>
      <c s="72">
        <f>IF('[1]Leakage Tree Data'!M89&lt;&gt;"",'[1]Leakage Tree Data'!M89,"")</f>
      </c>
      <c s="72">
        <f>IF('[1]Leakage Tree Data'!N89&lt;&gt;"",'[1]Leakage Tree Data'!N89,"")</f>
      </c>
      <c s="72">
        <f>IF('[1]Leakage Tree Data'!O89&lt;&gt;"",'[1]Leakage Tree Data'!O89,"")</f>
      </c>
      <c s="72">
        <f>IF('[1]Leakage Tree Data'!P89&lt;&gt;"",'[1]Leakage Tree Data'!P89,"")</f>
      </c>
      <c s="72">
        <f>IF('[1]Leakage Tree Data'!Q89&lt;&gt;"",'[1]Leakage Tree Data'!Q89,"")</f>
      </c>
      <c s="72">
        <f>IF('[1]Leakage Tree Data'!R89&lt;&gt;"",'[1]Leakage Tree Data'!R89,"")</f>
        <v>1017625.85098267</v>
      </c>
      <c s="72">
        <f>IF('[1]Leakage Tree Data'!S89&lt;&gt;"",'[1]Leakage Tree Data'!S89,"")</f>
        <v>592519.549591064</v>
      </c>
      <c s="72">
        <f>IF('[1]Leakage Tree Data'!T89&lt;&gt;"",'[1]Leakage Tree Data'!T89,"")</f>
        <v>0.441332510388952</v>
      </c>
      <c s="72">
        <f>IF('[1]Leakage Tree Data'!U89&lt;&gt;"",'[1]Leakage Tree Data'!U89,"")</f>
        <v>425106.301391602</v>
      </c>
      <c s="72">
        <f>IF('[1]Leakage Tree Data'!V89&lt;&gt;"",'[1]Leakage Tree Data'!V89,"")</f>
        <v>-0.441332510388946</v>
      </c>
      <c s="72">
        <f>IF('[1]Leakage Tree Data'!W89&lt;&gt;"",'[1]Leakage Tree Data'!W89,"")</f>
        <v>-1855949.2237854</v>
      </c>
      <c s="72">
        <f>IF('[1]Leakage Tree Data'!X89&lt;&gt;"",'[1]Leakage Tree Data'!X89,"")</f>
      </c>
      <c s="72">
        <f>IF('[1]Leakage Tree Data'!Y89&lt;&gt;"",'[1]Leakage Tree Data'!Y89,"")</f>
      </c>
      <c s="72">
        <f>IF('[1]Leakage Tree Data'!Z89&lt;&gt;"",'[1]Leakage Tree Data'!Z89,"")</f>
      </c>
      <c s="72">
        <f>IF('[1]Leakage Tree Data'!AA89&lt;&gt;"",'[1]Leakage Tree Data'!AA89,"")</f>
      </c>
      <c s="72">
        <f>IF('[1]Leakage Tree Data'!AB89&lt;&gt;"",'[1]Leakage Tree Data'!AB89,"")</f>
      </c>
      <c s="72">
        <f>IF('[1]Leakage Tree Data'!AC89&lt;&gt;"",'[1]Leakage Tree Data'!AC89,"")</f>
      </c>
      <c s="72">
        <f>IF('[1]Leakage Tree Data'!AD89&lt;&gt;"",'[1]Leakage Tree Data'!AD89,"")</f>
      </c>
      <c s="72">
        <f>IF('[1]Leakage Tree Data'!AE89&lt;&gt;"",'[1]Leakage Tree Data'!AE89,"")</f>
      </c>
      <c s="73">
        <f t="shared" si="21"/>
      </c>
      <c s="73">
        <f t="shared" si="22"/>
      </c>
      <c s="73">
        <f t="shared" si="23"/>
      </c>
      <c s="73">
        <f t="shared" si="24"/>
      </c>
      <c s="74">
        <f t="shared" si="25"/>
      </c>
      <c s="74">
        <f t="shared" si="26"/>
      </c>
      <c s="69" t="str">
        <f t="shared" si="17"/>
        <v>Total US - Sprouts Farmers Market</v>
      </c>
      <c s="69" t="str">
        <f t="shared" si="18"/>
        <v>Total US - GroceryX</v>
      </c>
      <c s="77"/>
    </row>
    <row r="191" spans="1:141" ht="15">
      <c r="A19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191,$AL$8:$AL$15,1,FALSE))=TRUE,IF(AND(CV191=CW191,CV191&lt;&gt;"",DI$111&lt;&gt;"",DK191&lt;&gt;""),IF(CW$101="Y",DK191-IF(ISERROR(VLOOKUP(CV191,$CA$113:$DK$300,37,FALSE))=TRUE,0,IF(VLOOKUP(CV191,$CA$113:$DK$300,37,FALSE)="",0,VLOOKUP(CV191,$CA$113:$DK$300,37,FALSE))),DK191-IF(AND(CW$102="Y",CV191=$CW$111),DI$111,0)),""),"")</f>
      </c>
      <c s="76">
        <f>IF(ISERROR(VLOOKUP(CV191,$AL$8:$AL$15,1,FALSE))=TRUE,IF(CB191&lt;&gt;"",IF(CB191&gt;0,IF(Z$4&lt;&gt;"",MIN(4,RANK(CB191,$CB$111:$CB$300)),RANK(CB191,$CB$111:$CB$300)),""),""),"")</f>
      </c>
      <c s="75">
        <f>IF(ISERROR(VLOOKUP(CV191,$AL$8:$AL$15,1,FALSE))=TRUE,IF(AND(ISERROR(FIND("NeighMkt",$CX$102))=FALSE,LEFT($CW$111,10)="ALL OUTLET",$CA191&lt;&gt;"",DK191&lt;&gt;""),"",IF(AND($CV191&lt;&gt;$CW191,$CW191=CD$110),$DK191,"")),"")</f>
        <v>1810588.16070557</v>
      </c>
      <c s="76">
        <f>IF(ISERROR(VLOOKUP(CV191,$AL$8:$AL$15,1,FALSE))=TRUE,IF(CD191&lt;&gt;"",IF(CD191&gt;0,RANK(CD191,$CD$111:$CD$300),""),""),"")</f>
        <v>26</v>
      </c>
      <c s="75">
        <f>IF(ISERROR(VLOOKUP(CV191,$AL$8:$AL$15,1,FALSE))=TRUE,IF(AND(ISERROR(FIND("NeighMkt",$CX$102))=FALSE,LEFT($CW$111,10)="ALL OUTLET",$CA191&lt;&gt;"",DK191&lt;&gt;""),"",IF(AND($CV191&lt;&gt;$CW191,$CW191=CF$110),$DK191,"")),"")</f>
      </c>
      <c s="76">
        <f>IF(ISERROR(VLOOKUP(CV191,$AL$8:$AL$15,1,FALSE))=TRUE,IF(CF191&lt;&gt;"",IF(CF191&gt;0,RANK(CF191,$CF$111:$CF$300),""),""),"")</f>
      </c>
      <c s="75">
        <f>IF(ISERROR(VLOOKUP(CV191,$AL$8:$AL$15,1,FALSE))=TRUE,IF(AND(ISERROR(FIND("NeighMkt",$CX$102))=FALSE,LEFT($CW$111,10)="ALL OUTLET",$CA191&lt;&gt;"",DK191&lt;&gt;""),"",IF(AND($CV191&lt;&gt;$CW191,$CW191=CH$110),$DK191,"")),"")</f>
      </c>
      <c s="76">
        <f>IF(ISERROR(VLOOKUP(CV191,$AL$8:$AL$15,1,FALSE))=TRUE,IF(CH191&lt;&gt;"",IF(CH191&gt;0,RANK(CH191,$CH$111:$CH$300),""),""),"")</f>
      </c>
      <c s="75">
        <f>IF(ISERROR(VLOOKUP(CV191,$AL$8:$AL$15,1,FALSE))=TRUE,IF(AND(ISERROR(FIND("NeighMkt",$CX$102))=FALSE,LEFT($CW$111,10)="ALL OUTLET",$CA191&lt;&gt;"",DK191&lt;&gt;""),"",IF($Z$4="",IF(AND($CV191&lt;&gt;$CW191,$CW191=CJ$110),$DK191,""),IF(AND($CV191&lt;&gt;$CW191,$CW191&lt;&gt;CD$110,$CW191&lt;&gt;CF$110,$CW191&lt;&gt;CH$110,$CW191&lt;&gt;$CV$111),$DK191,""))),"")</f>
      </c>
      <c s="76">
        <f>IF(ISERROR(VLOOKUP(CV191,$AL$8:$AL$15,1,FALSE))=TRUE,IF(CJ191&lt;&gt;"",IF(CJ191&gt;0,RANK(CJ191,$CJ$111:$CJ$300),""),""),"")</f>
      </c>
      <c s="75">
        <f>IF(ISERROR(VLOOKUP(CV191,$AL$8:$AL$15,1,FALSE))=TRUE,IF(AND(CV191=CW191,CV191&lt;&gt;"",DJ191&lt;&gt;""),IF(AND(ISERROR(FIND("NeighMkt",$CX$102))=FALSE,LEFT($CW$111,10)="ALL OUTLET"),DJ191-IF(ISERROR(VLOOKUP(CV191,$CA$113:$DK$300,36,FALSE))=TRUE,0,IF(VLOOKUP(CV191,$CA$113:$DK$300,36,FALSE)="",0,VLOOKUP(CV191,$CA$113:$DK$300,36,FALSE))),DJ191),""),"")</f>
      </c>
      <c s="76">
        <f>IF(ISERROR(VLOOKUP(CV191,$AL$8:$AL$15,1,FALSE))=TRUE,IF(CL191&lt;&gt;"",IF(CL191&gt;0,IF($Z$4&lt;&gt;"",MIN(4,RANK(CL191,$CL$111:$CL$300)),RANK(CL191,$CL$111:$CL$300)),""),""),"")</f>
      </c>
      <c s="75">
        <f>IF(ISERROR(VLOOKUP(CV191,$AL$8:$AL$15,1,FALSE))=TRUE,IF(AND(ISERROR(FIND("NeighMkt",$CX$102))=FALSE,LEFT($CW$111,10)="ALL OUTLET",$CA191&lt;&gt;"",DJ191&lt;&gt;""),"",IF(AND($CV191&lt;&gt;$CW191,$CW191=CN$110),$DJ191,"")),"")</f>
        <v>6408117.37770081</v>
      </c>
      <c s="76">
        <f>IF(ISERROR(VLOOKUP(CV191,$AL$8:$AL$15,1,FALSE))=TRUE,IF(CN191&lt;&gt;"",IF(CN191&gt;0,RANK(CN191,$CN$111:$CN$300),""),""),"")</f>
        <v>23</v>
      </c>
      <c s="75">
        <f>IF(ISERROR(VLOOKUP(CV191,$AL$8:$AL$15,1,FALSE))=TRUE,IF(AND(ISERROR(FIND("NeighMkt",$CX$102))=FALSE,LEFT($CW$111,10)="ALL OUTLET",$CA191&lt;&gt;"",DJ191&lt;&gt;""),"",IF(AND($CV191&lt;&gt;$CW191,$CW191=CP$110),$DJ191,"")),"")</f>
      </c>
      <c s="76">
        <f>IF(ISERROR(VLOOKUP(CV191,$AL$8:$AL$15,1,FALSE))=TRUE,IF(CP191&lt;&gt;"",IF(CP191&gt;0,RANK(CP191,$CP$111:$CP$300),""),""),"")</f>
      </c>
      <c s="75">
        <f>IF(ISERROR(VLOOKUP(CV191,$AL$8:$AL$15,1,FALSE))=TRUE,IF(AND(ISERROR(FIND("NeighMkt",$CX$102))=FALSE,LEFT($CW$111,10)="ALL OUTLET",$CA191&lt;&gt;"",DJ191&lt;&gt;""),"",IF(AND($CV191&lt;&gt;$CW191,$CW191=CR$110),$DJ191,"")),"")</f>
      </c>
      <c s="76">
        <f>IF(ISERROR(VLOOKUP(CV191,$AL$8:$AL$15,1,FALSE))=TRUE,IF(CR191&lt;&gt;"",IF(CR191&gt;0,RANK(CR191,$CR$111:$CR$300),""),""),"")</f>
      </c>
      <c s="75">
        <f>IF(ISERROR(VLOOKUP(CV191,$AL$8:$AL$15,1,FALSE))=TRUE,IF(AND(ISERROR(FIND("NeighMkt",$CX$102))=FALSE,LEFT($CW$111,10)="ALL OUTLET",$CA191&lt;&gt;"",DJ191&lt;&gt;""),"",IF($Z$4="",IF(AND($CV191&lt;&gt;$CW191,$CW191=CT$110),$DJ191,""),IF(AND($CV191&lt;&gt;$CW191,$CW191&lt;&gt;CN$110,$CW191&lt;&gt;CP$110,$CW191&lt;&gt;CR$110,$CW191&lt;&gt;$CV$111),$DJ191,""))),"")</f>
      </c>
      <c s="76">
        <f>IF(ISERROR(VLOOKUP(CV191,$AL$8:$AL$15,1,FALSE))=TRUE,IF(CT191&lt;&gt;"",IF(CT191&gt;0,RANK(CT191,$CT$111:$CT$300),""),""),"")</f>
      </c>
      <c s="65" t="str">
        <f t="shared" si="19"/>
        <v>Stater Brothers</v>
      </c>
      <c s="65" t="str">
        <f t="shared" si="20"/>
        <v>GroceryX</v>
      </c>
      <c s="72" t="str">
        <f>IF('[1]Leakage Tree Data'!A90&lt;&gt;"",'[1]Leakage Tree Data'!A90,"")</f>
        <v>Total US - Stater Brothers</v>
      </c>
      <c s="72" t="str">
        <f>IF('[1]Leakage Tree Data'!B90&lt;&gt;"",'[1]Leakage Tree Data'!B90,"")</f>
        <v>Total US - GroceryX</v>
      </c>
      <c s="72">
        <f>IF('[1]Leakage Tree Data'!C90&lt;&gt;"",'[1]Leakage Tree Data'!C90,"")</f>
        <v>121171760.292236</v>
      </c>
      <c s="72">
        <f>IF('[1]Leakage Tree Data'!D90&lt;&gt;"",'[1]Leakage Tree Data'!D90,"")</f>
        <v>2885524.92810059</v>
      </c>
      <c s="72">
        <f>IF('[1]Leakage Tree Data'!E90&lt;&gt;"",'[1]Leakage Tree Data'!E90,"")</f>
        <v>2.38135100219838</v>
      </c>
      <c s="72">
        <f>IF('[1]Leakage Tree Data'!F90&lt;&gt;"",'[1]Leakage Tree Data'!F90,"")</f>
        <v>118286235.364136</v>
      </c>
      <c s="72">
        <f>IF('[1]Leakage Tree Data'!G90&lt;&gt;"",'[1]Leakage Tree Data'!G90,"")</f>
        <v>97.6186489978016</v>
      </c>
      <c s="72">
        <f>IF('[1]Leakage Tree Data'!H90&lt;&gt;"",'[1]Leakage Tree Data'!H90,"")</f>
        <v>61518209.9918823</v>
      </c>
      <c s="72" t="str">
        <f>IF('[1]Leakage Tree Data'!I90&lt;&gt;"",'[1]Leakage Tree Data'!I90,"")</f>
        <v>GroceryX</v>
      </c>
      <c s="72">
        <f>IF('[1]Leakage Tree Data'!J90&lt;&gt;"",'[1]Leakage Tree Data'!J90,"")</f>
        <v>99.2278287715973</v>
      </c>
      <c s="72">
        <f>IF('[1]Leakage Tree Data'!K90&lt;&gt;"",'[1]Leakage Tree Data'!K90,"")</f>
        <v>475025.917785645</v>
      </c>
      <c s="72">
        <f>IF('[1]Leakage Tree Data'!L90&lt;&gt;"",'[1]Leakage Tree Data'!L90,"")</f>
        <v>1810588.16070557</v>
      </c>
      <c s="72">
        <f>IF('[1]Leakage Tree Data'!M90&lt;&gt;"",'[1]Leakage Tree Data'!M90,"")</f>
        <v>6408117.37770081</v>
      </c>
      <c s="72">
        <f>IF('[1]Leakage Tree Data'!N90&lt;&gt;"",'[1]Leakage Tree Data'!N90,"")</f>
        <v>1810588.16070557</v>
      </c>
      <c s="72">
        <f>IF('[1]Leakage Tree Data'!O90&lt;&gt;"",'[1]Leakage Tree Data'!O90,"")</f>
        <v>26.5461267121666</v>
      </c>
      <c s="72">
        <f>IF('[1]Leakage Tree Data'!P90&lt;&gt;"",'[1]Leakage Tree Data'!P90,"")</f>
        <v>523427.593559738</v>
      </c>
      <c s="72">
        <f>IF('[1]Leakage Tree Data'!Q90&lt;&gt;"",'[1]Leakage Tree Data'!Q90,"")</f>
      </c>
      <c s="72">
        <f>IF('[1]Leakage Tree Data'!R90&lt;&gt;"",'[1]Leakage Tree Data'!R90,"")</f>
        <v>1017625.85098267</v>
      </c>
      <c s="72">
        <f>IF('[1]Leakage Tree Data'!S90&lt;&gt;"",'[1]Leakage Tree Data'!S90,"")</f>
        <v>82530.6637573242</v>
      </c>
      <c s="72">
        <f>IF('[1]Leakage Tree Data'!T90&lt;&gt;"",'[1]Leakage Tree Data'!T90,"")</f>
        <v>0.0485188633977649</v>
      </c>
      <c s="72">
        <f>IF('[1]Leakage Tree Data'!U90&lt;&gt;"",'[1]Leakage Tree Data'!U90,"")</f>
        <v>935095.187225342</v>
      </c>
      <c s="72">
        <f>IF('[1]Leakage Tree Data'!V90&lt;&gt;"",'[1]Leakage Tree Data'!V90,"")</f>
        <v>-0.04851886339776</v>
      </c>
      <c s="72">
        <f>IF('[1]Leakage Tree Data'!W90&lt;&gt;"",'[1]Leakage Tree Data'!W90,"")</f>
        <v>-1855949.2237854</v>
      </c>
      <c s="72">
        <f>IF('[1]Leakage Tree Data'!X90&lt;&gt;"",'[1]Leakage Tree Data'!X90,"")</f>
      </c>
      <c s="72">
        <f>IF('[1]Leakage Tree Data'!Y90&lt;&gt;"",'[1]Leakage Tree Data'!Y90,"")</f>
        <v>0.000673062123098589</v>
      </c>
      <c s="72">
        <f>IF('[1]Leakage Tree Data'!Z90&lt;&gt;"",'[1]Leakage Tree Data'!Z90,"")</f>
        <v>-14757.6533813477</v>
      </c>
      <c s="72">
        <f>IF('[1]Leakage Tree Data'!AA90&lt;&gt;"",'[1]Leakage Tree Data'!AA90,"")</f>
        <v>-1260831.62484741</v>
      </c>
      <c s="72">
        <f>IF('[1]Leakage Tree Data'!AB90&lt;&gt;"",'[1]Leakage Tree Data'!AB90,"")</f>
        <v>564726.44839859</v>
      </c>
      <c s="72">
        <f>IF('[1]Leakage Tree Data'!AC90&lt;&gt;"",'[1]Leakage Tree Data'!AC90,"")</f>
        <v>-1260831.62484741</v>
      </c>
      <c s="72">
        <f>IF('[1]Leakage Tree Data'!AD90&lt;&gt;"",'[1]Leakage Tree Data'!AD90,"")</f>
        <v>-0.398964697055813</v>
      </c>
      <c s="72">
        <f>IF('[1]Leakage Tree Data'!AE90&lt;&gt;"",'[1]Leakage Tree Data'!AE90,"")</f>
      </c>
      <c s="73">
        <f t="shared" si="21"/>
      </c>
      <c s="73">
        <f t="shared" si="22"/>
      </c>
      <c s="73">
        <f t="shared" si="23"/>
      </c>
      <c s="73">
        <f t="shared" si="24"/>
      </c>
      <c s="74">
        <f t="shared" si="25"/>
      </c>
      <c s="74">
        <f t="shared" si="26"/>
      </c>
      <c s="69" t="str">
        <f t="shared" si="17"/>
        <v>Total US - Stater Brothers</v>
      </c>
      <c s="69" t="str">
        <f t="shared" si="18"/>
        <v>Total US - GroceryX</v>
      </c>
      <c s="77"/>
    </row>
    <row r="192" spans="1:141" ht="15">
      <c r="A19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192,$AL$8:$AL$15,1,FALSE))=TRUE,IF(AND(CV192=CW192,CV192&lt;&gt;"",DI$111&lt;&gt;"",DK192&lt;&gt;""),IF(CW$101="Y",DK192-IF(ISERROR(VLOOKUP(CV192,$CA$113:$DK$300,37,FALSE))=TRUE,0,IF(VLOOKUP(CV192,$CA$113:$DK$300,37,FALSE)="",0,VLOOKUP(CV192,$CA$113:$DK$300,37,FALSE))),DK192-IF(AND(CW$102="Y",CV192=$CW$111),DI$111,0)),""),"")</f>
      </c>
      <c s="76">
        <f>IF(ISERROR(VLOOKUP(CV192,$AL$8:$AL$15,1,FALSE))=TRUE,IF(CB192&lt;&gt;"",IF(CB192&gt;0,IF(Z$4&lt;&gt;"",MIN(4,RANK(CB192,$CB$111:$CB$300)),RANK(CB192,$CB$111:$CB$300)),""),""),"")</f>
      </c>
      <c s="75">
        <f>IF(ISERROR(VLOOKUP(CV192,$AL$8:$AL$15,1,FALSE))=TRUE,IF(AND(ISERROR(FIND("NeighMkt",$CX$102))=FALSE,LEFT($CW$111,10)="ALL OUTLET",$CA192&lt;&gt;"",DK192&lt;&gt;""),"",IF(AND($CV192&lt;&gt;$CW192,$CW192=CD$110),$DK192,"")),"")</f>
        <v>4833600.98513794</v>
      </c>
      <c s="76">
        <f>IF(ISERROR(VLOOKUP(CV192,$AL$8:$AL$15,1,FALSE))=TRUE,IF(CD192&lt;&gt;"",IF(CD192&gt;0,RANK(CD192,$CD$111:$CD$300),""),""),"")</f>
        <v>7</v>
      </c>
      <c s="75">
        <f>IF(ISERROR(VLOOKUP(CV192,$AL$8:$AL$15,1,FALSE))=TRUE,IF(AND(ISERROR(FIND("NeighMkt",$CX$102))=FALSE,LEFT($CW$111,10)="ALL OUTLET",$CA192&lt;&gt;"",DK192&lt;&gt;""),"",IF(AND($CV192&lt;&gt;$CW192,$CW192=CF$110),$DK192,"")),"")</f>
      </c>
      <c s="76">
        <f>IF(ISERROR(VLOOKUP(CV192,$AL$8:$AL$15,1,FALSE))=TRUE,IF(CF192&lt;&gt;"",IF(CF192&gt;0,RANK(CF192,$CF$111:$CF$300),""),""),"")</f>
      </c>
      <c s="75">
        <f>IF(ISERROR(VLOOKUP(CV192,$AL$8:$AL$15,1,FALSE))=TRUE,IF(AND(ISERROR(FIND("NeighMkt",$CX$102))=FALSE,LEFT($CW$111,10)="ALL OUTLET",$CA192&lt;&gt;"",DK192&lt;&gt;""),"",IF(AND($CV192&lt;&gt;$CW192,$CW192=CH$110),$DK192,"")),"")</f>
      </c>
      <c s="76">
        <f>IF(ISERROR(VLOOKUP(CV192,$AL$8:$AL$15,1,FALSE))=TRUE,IF(CH192&lt;&gt;"",IF(CH192&gt;0,RANK(CH192,$CH$111:$CH$300),""),""),"")</f>
      </c>
      <c s="75">
        <f>IF(ISERROR(VLOOKUP(CV192,$AL$8:$AL$15,1,FALSE))=TRUE,IF(AND(ISERROR(FIND("NeighMkt",$CX$102))=FALSE,LEFT($CW$111,10)="ALL OUTLET",$CA192&lt;&gt;"",DK192&lt;&gt;""),"",IF($Z$4="",IF(AND($CV192&lt;&gt;$CW192,$CW192=CJ$110),$DK192,""),IF(AND($CV192&lt;&gt;$CW192,$CW192&lt;&gt;CD$110,$CW192&lt;&gt;CF$110,$CW192&lt;&gt;CH$110,$CW192&lt;&gt;$CV$111),$DK192,""))),"")</f>
      </c>
      <c s="76">
        <f>IF(ISERROR(VLOOKUP(CV192,$AL$8:$AL$15,1,FALSE))=TRUE,IF(CJ192&lt;&gt;"",IF(CJ192&gt;0,RANK(CJ192,$CJ$111:$CJ$300),""),""),"")</f>
      </c>
      <c s="75">
        <f>IF(ISERROR(VLOOKUP(CV192,$AL$8:$AL$15,1,FALSE))=TRUE,IF(AND(CV192=CW192,CV192&lt;&gt;"",DJ192&lt;&gt;""),IF(AND(ISERROR(FIND("NeighMkt",$CX$102))=FALSE,LEFT($CW$111,10)="ALL OUTLET"),DJ192-IF(ISERROR(VLOOKUP(CV192,$CA$113:$DK$300,36,FALSE))=TRUE,0,IF(VLOOKUP(CV192,$CA$113:$DK$300,36,FALSE)="",0,VLOOKUP(CV192,$CA$113:$DK$300,36,FALSE))),DJ192),""),"")</f>
      </c>
      <c s="76">
        <f>IF(ISERROR(VLOOKUP(CV192,$AL$8:$AL$15,1,FALSE))=TRUE,IF(CL192&lt;&gt;"",IF(CL192&gt;0,IF($Z$4&lt;&gt;"",MIN(4,RANK(CL192,$CL$111:$CL$300)),RANK(CL192,$CL$111:$CL$300)),""),""),"")</f>
      </c>
      <c s="75">
        <f>IF(ISERROR(VLOOKUP(CV192,$AL$8:$AL$15,1,FALSE))=TRUE,IF(AND(ISERROR(FIND("NeighMkt",$CX$102))=FALSE,LEFT($CW$111,10)="ALL OUTLET",$CA192&lt;&gt;"",DJ192&lt;&gt;""),"",IF(AND($CV192&lt;&gt;$CW192,$CW192=CN$110),$DJ192,"")),"")</f>
        <v>19418185.9652767</v>
      </c>
      <c s="76">
        <f>IF(ISERROR(VLOOKUP(CV192,$AL$8:$AL$15,1,FALSE))=TRUE,IF(CN192&lt;&gt;"",IF(CN192&gt;0,RANK(CN192,$CN$111:$CN$300),""),""),"")</f>
        <v>6</v>
      </c>
      <c s="75">
        <f>IF(ISERROR(VLOOKUP(CV192,$AL$8:$AL$15,1,FALSE))=TRUE,IF(AND(ISERROR(FIND("NeighMkt",$CX$102))=FALSE,LEFT($CW$111,10)="ALL OUTLET",$CA192&lt;&gt;"",DJ192&lt;&gt;""),"",IF(AND($CV192&lt;&gt;$CW192,$CW192=CP$110),$DJ192,"")),"")</f>
      </c>
      <c s="76">
        <f>IF(ISERROR(VLOOKUP(CV192,$AL$8:$AL$15,1,FALSE))=TRUE,IF(CP192&lt;&gt;"",IF(CP192&gt;0,RANK(CP192,$CP$111:$CP$300),""),""),"")</f>
      </c>
      <c s="75">
        <f>IF(ISERROR(VLOOKUP(CV192,$AL$8:$AL$15,1,FALSE))=TRUE,IF(AND(ISERROR(FIND("NeighMkt",$CX$102))=FALSE,LEFT($CW$111,10)="ALL OUTLET",$CA192&lt;&gt;"",DJ192&lt;&gt;""),"",IF(AND($CV192&lt;&gt;$CW192,$CW192=CR$110),$DJ192,"")),"")</f>
      </c>
      <c s="76">
        <f>IF(ISERROR(VLOOKUP(CV192,$AL$8:$AL$15,1,FALSE))=TRUE,IF(CR192&lt;&gt;"",IF(CR192&gt;0,RANK(CR192,$CR$111:$CR$300),""),""),"")</f>
      </c>
      <c s="75">
        <f>IF(ISERROR(VLOOKUP(CV192,$AL$8:$AL$15,1,FALSE))=TRUE,IF(AND(ISERROR(FIND("NeighMkt",$CX$102))=FALSE,LEFT($CW$111,10)="ALL OUTLET",$CA192&lt;&gt;"",DJ192&lt;&gt;""),"",IF($Z$4="",IF(AND($CV192&lt;&gt;$CW192,$CW192=CT$110),$DJ192,""),IF(AND($CV192&lt;&gt;$CW192,$CW192&lt;&gt;CN$110,$CW192&lt;&gt;CP$110,$CW192&lt;&gt;CR$110,$CW192&lt;&gt;$CV$111),$DJ192,""))),"")</f>
      </c>
      <c s="76">
        <f>IF(ISERROR(VLOOKUP(CV192,$AL$8:$AL$15,1,FALSE))=TRUE,IF(CT192&lt;&gt;"",IF(CT192&gt;0,RANK(CT192,$CT$111:$CT$300),""),""),"")</f>
      </c>
      <c s="65" t="str">
        <f t="shared" si="19"/>
        <v>Stop &amp; Shop</v>
      </c>
      <c s="65" t="str">
        <f t="shared" si="20"/>
        <v>GroceryX</v>
      </c>
      <c s="72" t="str">
        <f>IF('[1]Leakage Tree Data'!A91&lt;&gt;"",'[1]Leakage Tree Data'!A91,"")</f>
        <v>Total US - Stop &amp; Shop</v>
      </c>
      <c s="72" t="str">
        <f>IF('[1]Leakage Tree Data'!B91&lt;&gt;"",'[1]Leakage Tree Data'!B91,"")</f>
        <v>Total US - GroceryX</v>
      </c>
      <c s="72">
        <f>IF('[1]Leakage Tree Data'!C91&lt;&gt;"",'[1]Leakage Tree Data'!C91,"")</f>
        <v>121171760.292236</v>
      </c>
      <c s="72">
        <f>IF('[1]Leakage Tree Data'!D91&lt;&gt;"",'[1]Leakage Tree Data'!D91,"")</f>
        <v>6925223.14776611</v>
      </c>
      <c s="72">
        <f>IF('[1]Leakage Tree Data'!E91&lt;&gt;"",'[1]Leakage Tree Data'!E91,"")</f>
        <v>5.71521213446449</v>
      </c>
      <c s="72">
        <f>IF('[1]Leakage Tree Data'!F91&lt;&gt;"",'[1]Leakage Tree Data'!F91,"")</f>
        <v>114246537.14447</v>
      </c>
      <c s="72">
        <f>IF('[1]Leakage Tree Data'!G91&lt;&gt;"",'[1]Leakage Tree Data'!G91,"")</f>
        <v>94.2847878655355</v>
      </c>
      <c s="72">
        <f>IF('[1]Leakage Tree Data'!H91&lt;&gt;"",'[1]Leakage Tree Data'!H91,"")</f>
        <v>61518209.9918823</v>
      </c>
      <c s="72" t="str">
        <f>IF('[1]Leakage Tree Data'!I91&lt;&gt;"",'[1]Leakage Tree Data'!I91,"")</f>
        <v>GroceryX</v>
      </c>
      <c s="72">
        <f>IF('[1]Leakage Tree Data'!J91&lt;&gt;"",'[1]Leakage Tree Data'!J91,"")</f>
        <v>97.5755152081902</v>
      </c>
      <c s="72">
        <f>IF('[1]Leakage Tree Data'!K91&lt;&gt;"",'[1]Leakage Tree Data'!K91,"")</f>
        <v>1491499.64544678</v>
      </c>
      <c s="72">
        <f>IF('[1]Leakage Tree Data'!L91&lt;&gt;"",'[1]Leakage Tree Data'!L91,"")</f>
        <v>4833600.98513794</v>
      </c>
      <c s="72">
        <f>IF('[1]Leakage Tree Data'!M91&lt;&gt;"",'[1]Leakage Tree Data'!M91,"")</f>
        <v>19418185.9652767</v>
      </c>
      <c s="72">
        <f>IF('[1]Leakage Tree Data'!N91&lt;&gt;"",'[1]Leakage Tree Data'!N91,"")</f>
        <v>4833600.98513794</v>
      </c>
      <c s="72">
        <f>IF('[1]Leakage Tree Data'!O91&lt;&gt;"",'[1]Leakage Tree Data'!O91,"")</f>
        <v>40.0797288709206</v>
      </c>
      <c s="72">
        <f>IF('[1]Leakage Tree Data'!P91&lt;&gt;"",'[1]Leakage Tree Data'!P91,"")</f>
        <v>1542141.83951348</v>
      </c>
      <c s="72">
        <f>IF('[1]Leakage Tree Data'!Q91&lt;&gt;"",'[1]Leakage Tree Data'!Q91,"")</f>
      </c>
      <c s="72">
        <f>IF('[1]Leakage Tree Data'!R91&lt;&gt;"",'[1]Leakage Tree Data'!R91,"")</f>
        <v>1017625.85098267</v>
      </c>
      <c s="72">
        <f>IF('[1]Leakage Tree Data'!S91&lt;&gt;"",'[1]Leakage Tree Data'!S91,"")</f>
        <v>-64275.2537231445</v>
      </c>
      <c s="72">
        <f>IF('[1]Leakage Tree Data'!T91&lt;&gt;"",'[1]Leakage Tree Data'!T91,"")</f>
        <v>-0.101898058199416</v>
      </c>
      <c s="72">
        <f>IF('[1]Leakage Tree Data'!U91&lt;&gt;"",'[1]Leakage Tree Data'!U91,"")</f>
        <v>1081901.10470581</v>
      </c>
      <c s="72">
        <f>IF('[1]Leakage Tree Data'!V91&lt;&gt;"",'[1]Leakage Tree Data'!V91,"")</f>
        <v>0.10189805819941</v>
      </c>
      <c s="72">
        <f>IF('[1]Leakage Tree Data'!W91&lt;&gt;"",'[1]Leakage Tree Data'!W91,"")</f>
        <v>-1855949.2237854</v>
      </c>
      <c s="72">
        <f>IF('[1]Leakage Tree Data'!X91&lt;&gt;"",'[1]Leakage Tree Data'!X91,"")</f>
      </c>
      <c s="72">
        <f>IF('[1]Leakage Tree Data'!Y91&lt;&gt;"",'[1]Leakage Tree Data'!Y91,"")</f>
        <v>0.412160795126837</v>
      </c>
      <c s="72">
        <f>IF('[1]Leakage Tree Data'!Z91&lt;&gt;"",'[1]Leakage Tree Data'!Z91,"")</f>
        <v>-306200.645202637</v>
      </c>
      <c s="72">
        <f>IF('[1]Leakage Tree Data'!AA91&lt;&gt;"",'[1]Leakage Tree Data'!AA91,"")</f>
        <v>-4703825.48635101</v>
      </c>
      <c s="72">
        <f>IF('[1]Leakage Tree Data'!AB91&lt;&gt;"",'[1]Leakage Tree Data'!AB91,"")</f>
        <v>-4923585.5430088</v>
      </c>
      <c s="72">
        <f>IF('[1]Leakage Tree Data'!AC91&lt;&gt;"",'[1]Leakage Tree Data'!AC91,"")</f>
        <v>-4703825.48635101</v>
      </c>
      <c s="72">
        <f>IF('[1]Leakage Tree Data'!AD91&lt;&gt;"",'[1]Leakage Tree Data'!AD91,"")</f>
        <v>-5.76201825428542</v>
      </c>
      <c s="72">
        <f>IF('[1]Leakage Tree Data'!AE91&lt;&gt;"",'[1]Leakage Tree Data'!AE91,"")</f>
      </c>
      <c s="73">
        <f t="shared" si="21"/>
      </c>
      <c s="73">
        <f t="shared" si="22"/>
      </c>
      <c s="73">
        <f t="shared" si="23"/>
      </c>
      <c s="73">
        <f t="shared" si="24"/>
      </c>
      <c s="74">
        <f t="shared" si="25"/>
      </c>
      <c s="74">
        <f t="shared" si="26"/>
      </c>
      <c s="69" t="str">
        <f t="shared" si="17"/>
        <v>Total US - Stop &amp; Shop</v>
      </c>
      <c s="69" t="str">
        <f t="shared" si="18"/>
        <v>Total US - GroceryX</v>
      </c>
      <c s="77"/>
    </row>
    <row r="193" spans="1:141" ht="15">
      <c r="A19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193,$AL$8:$AL$15,1,FALSE))=TRUE,IF(AND(CV193=CW193,CV193&lt;&gt;"",DI$111&lt;&gt;"",DK193&lt;&gt;""),IF(CW$101="Y",DK193-IF(ISERROR(VLOOKUP(CV193,$CA$113:$DK$300,37,FALSE))=TRUE,0,IF(VLOOKUP(CV193,$CA$113:$DK$300,37,FALSE)="",0,VLOOKUP(CV193,$CA$113:$DK$300,37,FALSE))),DK193-IF(AND(CW$102="Y",CV193=$CW$111),DI$111,0)),""),"")</f>
      </c>
      <c s="76">
        <f>IF(ISERROR(VLOOKUP(CV193,$AL$8:$AL$15,1,FALSE))=TRUE,IF(CB193&lt;&gt;"",IF(CB193&gt;0,IF(Z$4&lt;&gt;"",MIN(4,RANK(CB193,$CB$111:$CB$300)),RANK(CB193,$CB$111:$CB$300)),""),""),"")</f>
      </c>
      <c s="75">
        <f>IF(ISERROR(VLOOKUP(CV193,$AL$8:$AL$15,1,FALSE))=TRUE,IF(AND(ISERROR(FIND("NeighMkt",$CX$102))=FALSE,LEFT($CW$111,10)="ALL OUTLET",$CA193&lt;&gt;"",DK193&lt;&gt;""),"",IF(AND($CV193&lt;&gt;$CW193,$CW193=CD$110),$DK193,"")),"")</f>
      </c>
      <c s="76">
        <f>IF(ISERROR(VLOOKUP(CV193,$AL$8:$AL$15,1,FALSE))=TRUE,IF(CD193&lt;&gt;"",IF(CD193&gt;0,RANK(CD193,$CD$111:$CD$300),""),""),"")</f>
      </c>
      <c s="75">
        <f>IF(ISERROR(VLOOKUP(CV193,$AL$8:$AL$15,1,FALSE))=TRUE,IF(AND(ISERROR(FIND("NeighMkt",$CX$102))=FALSE,LEFT($CW$111,10)="ALL OUTLET",$CA193&lt;&gt;"",DK193&lt;&gt;""),"",IF(AND($CV193&lt;&gt;$CW193,$CW193=CF$110),$DK193,"")),"")</f>
      </c>
      <c s="76">
        <f>IF(ISERROR(VLOOKUP(CV193,$AL$8:$AL$15,1,FALSE))=TRUE,IF(CF193&lt;&gt;"",IF(CF193&gt;0,RANK(CF193,$CF$111:$CF$300),""),""),"")</f>
      </c>
      <c s="75">
        <f>IF(ISERROR(VLOOKUP(CV193,$AL$8:$AL$15,1,FALSE))=TRUE,IF(AND(ISERROR(FIND("NeighMkt",$CX$102))=FALSE,LEFT($CW$111,10)="ALL OUTLET",$CA193&lt;&gt;"",DK193&lt;&gt;""),"",IF(AND($CV193&lt;&gt;$CW193,$CW193=CH$110),$DK193,"")),"")</f>
      </c>
      <c s="76">
        <f>IF(ISERROR(VLOOKUP(CV193,$AL$8:$AL$15,1,FALSE))=TRUE,IF(CH193&lt;&gt;"",IF(CH193&gt;0,RANK(CH193,$CH$111:$CH$300),""),""),"")</f>
      </c>
      <c s="75">
        <f>IF(ISERROR(VLOOKUP(CV193,$AL$8:$AL$15,1,FALSE))=TRUE,IF(AND(ISERROR(FIND("NeighMkt",$CX$102))=FALSE,LEFT($CW$111,10)="ALL OUTLET",$CA193&lt;&gt;"",DK193&lt;&gt;""),"",IF($Z$4="",IF(AND($CV193&lt;&gt;$CW193,$CW193=CJ$110),$DK193,""),IF(AND($CV193&lt;&gt;$CW193,$CW193&lt;&gt;CD$110,$CW193&lt;&gt;CF$110,$CW193&lt;&gt;CH$110,$CW193&lt;&gt;$CV$111),$DK193,""))),"")</f>
      </c>
      <c s="76">
        <f>IF(ISERROR(VLOOKUP(CV193,$AL$8:$AL$15,1,FALSE))=TRUE,IF(CJ193&lt;&gt;"",IF(CJ193&gt;0,RANK(CJ193,$CJ$111:$CJ$300),""),""),"")</f>
      </c>
      <c s="75">
        <f>IF(ISERROR(VLOOKUP(CV193,$AL$8:$AL$15,1,FALSE))=TRUE,IF(AND(CV193=CW193,CV193&lt;&gt;"",DJ193&lt;&gt;""),IF(AND(ISERROR(FIND("NeighMkt",$CX$102))=FALSE,LEFT($CW$111,10)="ALL OUTLET"),DJ193-IF(ISERROR(VLOOKUP(CV193,$CA$113:$DK$300,36,FALSE))=TRUE,0,IF(VLOOKUP(CV193,$CA$113:$DK$300,36,FALSE)="",0,VLOOKUP(CV193,$CA$113:$DK$300,36,FALSE))),DJ193),""),"")</f>
      </c>
      <c s="76">
        <f>IF(ISERROR(VLOOKUP(CV193,$AL$8:$AL$15,1,FALSE))=TRUE,IF(CL193&lt;&gt;"",IF(CL193&gt;0,IF($Z$4&lt;&gt;"",MIN(4,RANK(CL193,$CL$111:$CL$300)),RANK(CL193,$CL$111:$CL$300)),""),""),"")</f>
      </c>
      <c s="75">
        <f>IF(ISERROR(VLOOKUP(CV193,$AL$8:$AL$15,1,FALSE))=TRUE,IF(AND(ISERROR(FIND("NeighMkt",$CX$102))=FALSE,LEFT($CW$111,10)="ALL OUTLET",$CA193&lt;&gt;"",DJ193&lt;&gt;""),"",IF(AND($CV193&lt;&gt;$CW193,$CW193=CN$110),$DJ193,"")),"")</f>
      </c>
      <c s="76">
        <f>IF(ISERROR(VLOOKUP(CV193,$AL$8:$AL$15,1,FALSE))=TRUE,IF(CN193&lt;&gt;"",IF(CN193&gt;0,RANK(CN193,$CN$111:$CN$300),""),""),"")</f>
      </c>
      <c s="75">
        <f>IF(ISERROR(VLOOKUP(CV193,$AL$8:$AL$15,1,FALSE))=TRUE,IF(AND(ISERROR(FIND("NeighMkt",$CX$102))=FALSE,LEFT($CW$111,10)="ALL OUTLET",$CA193&lt;&gt;"",DJ193&lt;&gt;""),"",IF(AND($CV193&lt;&gt;$CW193,$CW193=CP$110),$DJ193,"")),"")</f>
      </c>
      <c s="76">
        <f>IF(ISERROR(VLOOKUP(CV193,$AL$8:$AL$15,1,FALSE))=TRUE,IF(CP193&lt;&gt;"",IF(CP193&gt;0,RANK(CP193,$CP$111:$CP$300),""),""),"")</f>
      </c>
      <c s="75">
        <f>IF(ISERROR(VLOOKUP(CV193,$AL$8:$AL$15,1,FALSE))=TRUE,IF(AND(ISERROR(FIND("NeighMkt",$CX$102))=FALSE,LEFT($CW$111,10)="ALL OUTLET",$CA193&lt;&gt;"",DJ193&lt;&gt;""),"",IF(AND($CV193&lt;&gt;$CW193,$CW193=CR$110),$DJ193,"")),"")</f>
      </c>
      <c s="76">
        <f>IF(ISERROR(VLOOKUP(CV193,$AL$8:$AL$15,1,FALSE))=TRUE,IF(CR193&lt;&gt;"",IF(CR193&gt;0,RANK(CR193,$CR$111:$CR$300),""),""),"")</f>
      </c>
      <c s="75">
        <f>IF(ISERROR(VLOOKUP(CV193,$AL$8:$AL$15,1,FALSE))=TRUE,IF(AND(ISERROR(FIND("NeighMkt",$CX$102))=FALSE,LEFT($CW$111,10)="ALL OUTLET",$CA193&lt;&gt;"",DJ193&lt;&gt;""),"",IF($Z$4="",IF(AND($CV193&lt;&gt;$CW193,$CW193=CT$110),$DJ193,""),IF(AND($CV193&lt;&gt;$CW193,$CW193&lt;&gt;CN$110,$CW193&lt;&gt;CP$110,$CW193&lt;&gt;CR$110,$CW193&lt;&gt;$CV$111),$DJ193,""))),"")</f>
      </c>
      <c s="76">
        <f>IF(ISERROR(VLOOKUP(CV193,$AL$8:$AL$15,1,FALSE))=TRUE,IF(CT193&lt;&gt;"",IF(CT193&gt;0,RANK(CT193,$CT$111:$CT$300),""),""),"")</f>
      </c>
      <c s="65" t="str">
        <f t="shared" si="19"/>
        <v>Sweetbay Supermarket</v>
      </c>
      <c s="65" t="str">
        <f t="shared" si="20"/>
        <v>GroceryX</v>
      </c>
      <c s="72" t="str">
        <f>IF('[1]Leakage Tree Data'!A92&lt;&gt;"",'[1]Leakage Tree Data'!A92,"")</f>
        <v>Total US - Sweetbay Supermarket</v>
      </c>
      <c s="72" t="str">
        <f>IF('[1]Leakage Tree Data'!B92&lt;&gt;"",'[1]Leakage Tree Data'!B92,"")</f>
        <v>Total US - GroceryX</v>
      </c>
      <c s="72">
        <f>IF('[1]Leakage Tree Data'!C92&lt;&gt;"",'[1]Leakage Tree Data'!C92,"")</f>
        <v>121171760.292236</v>
      </c>
      <c s="72">
        <f>IF('[1]Leakage Tree Data'!D92&lt;&gt;"",'[1]Leakage Tree Data'!D92,"")</f>
      </c>
      <c s="72">
        <f>IF('[1]Leakage Tree Data'!E92&lt;&gt;"",'[1]Leakage Tree Data'!E92,"")</f>
      </c>
      <c s="72">
        <f>IF('[1]Leakage Tree Data'!F92&lt;&gt;"",'[1]Leakage Tree Data'!F92,"")</f>
      </c>
      <c s="72">
        <f>IF('[1]Leakage Tree Data'!G92&lt;&gt;"",'[1]Leakage Tree Data'!G92,"")</f>
      </c>
      <c s="72">
        <f>IF('[1]Leakage Tree Data'!H92&lt;&gt;"",'[1]Leakage Tree Data'!H92,"")</f>
        <v>61518209.9918823</v>
      </c>
      <c s="72" t="str">
        <f>IF('[1]Leakage Tree Data'!I92&lt;&gt;"",'[1]Leakage Tree Data'!I92,"")</f>
        <v>GroceryX</v>
      </c>
      <c s="72">
        <f>IF('[1]Leakage Tree Data'!J92&lt;&gt;"",'[1]Leakage Tree Data'!J92,"")</f>
      </c>
      <c s="72">
        <f>IF('[1]Leakage Tree Data'!K92&lt;&gt;"",'[1]Leakage Tree Data'!K92,"")</f>
      </c>
      <c s="72">
        <f>IF('[1]Leakage Tree Data'!L92&lt;&gt;"",'[1]Leakage Tree Data'!L92,"")</f>
      </c>
      <c s="72">
        <f>IF('[1]Leakage Tree Data'!M92&lt;&gt;"",'[1]Leakage Tree Data'!M92,"")</f>
      </c>
      <c s="72">
        <f>IF('[1]Leakage Tree Data'!N92&lt;&gt;"",'[1]Leakage Tree Data'!N92,"")</f>
      </c>
      <c s="72">
        <f>IF('[1]Leakage Tree Data'!O92&lt;&gt;"",'[1]Leakage Tree Data'!O92,"")</f>
      </c>
      <c s="72">
        <f>IF('[1]Leakage Tree Data'!P92&lt;&gt;"",'[1]Leakage Tree Data'!P92,"")</f>
      </c>
      <c s="72">
        <f>IF('[1]Leakage Tree Data'!Q92&lt;&gt;"",'[1]Leakage Tree Data'!Q92,"")</f>
      </c>
      <c s="72">
        <f>IF('[1]Leakage Tree Data'!R92&lt;&gt;"",'[1]Leakage Tree Data'!R92,"")</f>
        <v>1017625.85098267</v>
      </c>
      <c s="72">
        <f>IF('[1]Leakage Tree Data'!S92&lt;&gt;"",'[1]Leakage Tree Data'!S92,"")</f>
      </c>
      <c s="72">
        <f>IF('[1]Leakage Tree Data'!T92&lt;&gt;"",'[1]Leakage Tree Data'!T92,"")</f>
      </c>
      <c s="72">
        <f>IF('[1]Leakage Tree Data'!U92&lt;&gt;"",'[1]Leakage Tree Data'!U92,"")</f>
      </c>
      <c s="72">
        <f>IF('[1]Leakage Tree Data'!V92&lt;&gt;"",'[1]Leakage Tree Data'!V92,"")</f>
      </c>
      <c s="72">
        <f>IF('[1]Leakage Tree Data'!W92&lt;&gt;"",'[1]Leakage Tree Data'!W92,"")</f>
        <v>-1855949.2237854</v>
      </c>
      <c s="72">
        <f>IF('[1]Leakage Tree Data'!X92&lt;&gt;"",'[1]Leakage Tree Data'!X92,"")</f>
      </c>
      <c s="72">
        <f>IF('[1]Leakage Tree Data'!Y92&lt;&gt;"",'[1]Leakage Tree Data'!Y92,"")</f>
      </c>
      <c s="72">
        <f>IF('[1]Leakage Tree Data'!Z92&lt;&gt;"",'[1]Leakage Tree Data'!Z92,"")</f>
      </c>
      <c s="72">
        <f>IF('[1]Leakage Tree Data'!AA92&lt;&gt;"",'[1]Leakage Tree Data'!AA92,"")</f>
      </c>
      <c s="72">
        <f>IF('[1]Leakage Tree Data'!AB92&lt;&gt;"",'[1]Leakage Tree Data'!AB92,"")</f>
      </c>
      <c s="72">
        <f>IF('[1]Leakage Tree Data'!AC92&lt;&gt;"",'[1]Leakage Tree Data'!AC92,"")</f>
      </c>
      <c s="72">
        <f>IF('[1]Leakage Tree Data'!AD92&lt;&gt;"",'[1]Leakage Tree Data'!AD92,"")</f>
      </c>
      <c s="72">
        <f>IF('[1]Leakage Tree Data'!AE92&lt;&gt;"",'[1]Leakage Tree Data'!AE92,"")</f>
      </c>
      <c s="73">
        <f t="shared" si="21"/>
      </c>
      <c s="73">
        <f t="shared" si="22"/>
      </c>
      <c s="73">
        <f t="shared" si="23"/>
      </c>
      <c s="73">
        <f t="shared" si="24"/>
      </c>
      <c s="74">
        <f t="shared" si="25"/>
      </c>
      <c s="74">
        <f t="shared" si="26"/>
      </c>
      <c s="69" t="str">
        <f t="shared" si="17"/>
        <v>Total US - Sweetbay Supermarket</v>
      </c>
      <c s="69" t="str">
        <f t="shared" si="18"/>
        <v>Total US - GroceryX</v>
      </c>
      <c s="77"/>
    </row>
    <row r="194" spans="1:141" ht="15">
      <c r="A19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194,$AL$8:$AL$15,1,FALSE))=TRUE,IF(AND(CV194=CW194,CV194&lt;&gt;"",DI$111&lt;&gt;"",DK194&lt;&gt;""),IF(CW$101="Y",DK194-IF(ISERROR(VLOOKUP(CV194,$CA$113:$DK$300,37,FALSE))=TRUE,0,IF(VLOOKUP(CV194,$CA$113:$DK$300,37,FALSE)="",0,VLOOKUP(CV194,$CA$113:$DK$300,37,FALSE))),DK194-IF(AND(CW$102="Y",CV194=$CW$111),DI$111,0)),""),"")</f>
      </c>
      <c s="76">
        <f>IF(ISERROR(VLOOKUP(CV194,$AL$8:$AL$15,1,FALSE))=TRUE,IF(CB194&lt;&gt;"",IF(CB194&gt;0,IF(Z$4&lt;&gt;"",MIN(4,RANK(CB194,$CB$111:$CB$300)),RANK(CB194,$CB$111:$CB$300)),""),""),"")</f>
      </c>
      <c s="75">
        <f>IF(ISERROR(VLOOKUP(CV194,$AL$8:$AL$15,1,FALSE))=TRUE,IF(AND(ISERROR(FIND("NeighMkt",$CX$102))=FALSE,LEFT($CW$111,10)="ALL OUTLET",$CA194&lt;&gt;"",DK194&lt;&gt;""),"",IF(AND($CV194&lt;&gt;$CW194,$CW194=CD$110),$DK194,"")),"")</f>
      </c>
      <c s="76">
        <f>IF(ISERROR(VLOOKUP(CV194,$AL$8:$AL$15,1,FALSE))=TRUE,IF(CD194&lt;&gt;"",IF(CD194&gt;0,RANK(CD194,$CD$111:$CD$300),""),""),"")</f>
      </c>
      <c s="75">
        <f>IF(ISERROR(VLOOKUP(CV194,$AL$8:$AL$15,1,FALSE))=TRUE,IF(AND(ISERROR(FIND("NeighMkt",$CX$102))=FALSE,LEFT($CW$111,10)="ALL OUTLET",$CA194&lt;&gt;"",DK194&lt;&gt;""),"",IF(AND($CV194&lt;&gt;$CW194,$CW194=CF$110),$DK194,"")),"")</f>
      </c>
      <c s="76">
        <f>IF(ISERROR(VLOOKUP(CV194,$AL$8:$AL$15,1,FALSE))=TRUE,IF(CF194&lt;&gt;"",IF(CF194&gt;0,RANK(CF194,$CF$111:$CF$300),""),""),"")</f>
      </c>
      <c s="75">
        <f>IF(ISERROR(VLOOKUP(CV194,$AL$8:$AL$15,1,FALSE))=TRUE,IF(AND(ISERROR(FIND("NeighMkt",$CX$102))=FALSE,LEFT($CW$111,10)="ALL OUTLET",$CA194&lt;&gt;"",DK194&lt;&gt;""),"",IF(AND($CV194&lt;&gt;$CW194,$CW194=CH$110),$DK194,"")),"")</f>
      </c>
      <c s="76">
        <f>IF(ISERROR(VLOOKUP(CV194,$AL$8:$AL$15,1,FALSE))=TRUE,IF(CH194&lt;&gt;"",IF(CH194&gt;0,RANK(CH194,$CH$111:$CH$300),""),""),"")</f>
      </c>
      <c s="75">
        <f>IF(ISERROR(VLOOKUP(CV194,$AL$8:$AL$15,1,FALSE))=TRUE,IF(AND(ISERROR(FIND("NeighMkt",$CX$102))=FALSE,LEFT($CW$111,10)="ALL OUTLET",$CA194&lt;&gt;"",DK194&lt;&gt;""),"",IF($Z$4="",IF(AND($CV194&lt;&gt;$CW194,$CW194=CJ$110),$DK194,""),IF(AND($CV194&lt;&gt;$CW194,$CW194&lt;&gt;CD$110,$CW194&lt;&gt;CF$110,$CW194&lt;&gt;CH$110,$CW194&lt;&gt;$CV$111),$DK194,""))),"")</f>
      </c>
      <c s="76">
        <f>IF(ISERROR(VLOOKUP(CV194,$AL$8:$AL$15,1,FALSE))=TRUE,IF(CJ194&lt;&gt;"",IF(CJ194&gt;0,RANK(CJ194,$CJ$111:$CJ$300),""),""),"")</f>
      </c>
      <c s="75">
        <f>IF(ISERROR(VLOOKUP(CV194,$AL$8:$AL$15,1,FALSE))=TRUE,IF(AND(CV194=CW194,CV194&lt;&gt;"",DJ194&lt;&gt;""),IF(AND(ISERROR(FIND("NeighMkt",$CX$102))=FALSE,LEFT($CW$111,10)="ALL OUTLET"),DJ194-IF(ISERROR(VLOOKUP(CV194,$CA$113:$DK$300,36,FALSE))=TRUE,0,IF(VLOOKUP(CV194,$CA$113:$DK$300,36,FALSE)="",0,VLOOKUP(CV194,$CA$113:$DK$300,36,FALSE))),DJ194),""),"")</f>
      </c>
      <c s="76">
        <f>IF(ISERROR(VLOOKUP(CV194,$AL$8:$AL$15,1,FALSE))=TRUE,IF(CL194&lt;&gt;"",IF(CL194&gt;0,IF($Z$4&lt;&gt;"",MIN(4,RANK(CL194,$CL$111:$CL$300)),RANK(CL194,$CL$111:$CL$300)),""),""),"")</f>
      </c>
      <c s="75">
        <f>IF(ISERROR(VLOOKUP(CV194,$AL$8:$AL$15,1,FALSE))=TRUE,IF(AND(ISERROR(FIND("NeighMkt",$CX$102))=FALSE,LEFT($CW$111,10)="ALL OUTLET",$CA194&lt;&gt;"",DJ194&lt;&gt;""),"",IF(AND($CV194&lt;&gt;$CW194,$CW194=CN$110),$DJ194,"")),"")</f>
      </c>
      <c s="76">
        <f>IF(ISERROR(VLOOKUP(CV194,$AL$8:$AL$15,1,FALSE))=TRUE,IF(CN194&lt;&gt;"",IF(CN194&gt;0,RANK(CN194,$CN$111:$CN$300),""),""),"")</f>
      </c>
      <c s="75">
        <f>IF(ISERROR(VLOOKUP(CV194,$AL$8:$AL$15,1,FALSE))=TRUE,IF(AND(ISERROR(FIND("NeighMkt",$CX$102))=FALSE,LEFT($CW$111,10)="ALL OUTLET",$CA194&lt;&gt;"",DJ194&lt;&gt;""),"",IF(AND($CV194&lt;&gt;$CW194,$CW194=CP$110),$DJ194,"")),"")</f>
      </c>
      <c s="76">
        <f>IF(ISERROR(VLOOKUP(CV194,$AL$8:$AL$15,1,FALSE))=TRUE,IF(CP194&lt;&gt;"",IF(CP194&gt;0,RANK(CP194,$CP$111:$CP$300),""),""),"")</f>
      </c>
      <c s="75">
        <f>IF(ISERROR(VLOOKUP(CV194,$AL$8:$AL$15,1,FALSE))=TRUE,IF(AND(ISERROR(FIND("NeighMkt",$CX$102))=FALSE,LEFT($CW$111,10)="ALL OUTLET",$CA194&lt;&gt;"",DJ194&lt;&gt;""),"",IF(AND($CV194&lt;&gt;$CW194,$CW194=CR$110),$DJ194,"")),"")</f>
      </c>
      <c s="76">
        <f>IF(ISERROR(VLOOKUP(CV194,$AL$8:$AL$15,1,FALSE))=TRUE,IF(CR194&lt;&gt;"",IF(CR194&gt;0,RANK(CR194,$CR$111:$CR$300),""),""),"")</f>
      </c>
      <c s="75">
        <f>IF(ISERROR(VLOOKUP(CV194,$AL$8:$AL$15,1,FALSE))=TRUE,IF(AND(ISERROR(FIND("NeighMkt",$CX$102))=FALSE,LEFT($CW$111,10)="ALL OUTLET",$CA194&lt;&gt;"",DJ194&lt;&gt;""),"",IF($Z$4="",IF(AND($CV194&lt;&gt;$CW194,$CW194=CT$110),$DJ194,""),IF(AND($CV194&lt;&gt;$CW194,$CW194&lt;&gt;CN$110,$CW194&lt;&gt;CP$110,$CW194&lt;&gt;CR$110,$CW194&lt;&gt;$CV$111),$DJ194,""))),"")</f>
      </c>
      <c s="76">
        <f>IF(ISERROR(VLOOKUP(CV194,$AL$8:$AL$15,1,FALSE))=TRUE,IF(CT194&lt;&gt;"",IF(CT194&gt;0,RANK(CT194,$CT$111:$CT$300),""),""),"")</f>
      </c>
      <c s="65" t="str">
        <f t="shared" si="19"/>
        <v>Tom Thumb</v>
      </c>
      <c s="65" t="str">
        <f t="shared" si="20"/>
        <v>GroceryX</v>
      </c>
      <c s="72" t="str">
        <f>IF('[1]Leakage Tree Data'!A93&lt;&gt;"",'[1]Leakage Tree Data'!A93,"")</f>
        <v>Total US - Tom Thumb</v>
      </c>
      <c s="72" t="str">
        <f>IF('[1]Leakage Tree Data'!B93&lt;&gt;"",'[1]Leakage Tree Data'!B93,"")</f>
        <v>Total US - GroceryX</v>
      </c>
      <c s="72">
        <f>IF('[1]Leakage Tree Data'!C93&lt;&gt;"",'[1]Leakage Tree Data'!C93,"")</f>
        <v>121171760.292236</v>
      </c>
      <c s="72">
        <f>IF('[1]Leakage Tree Data'!D93&lt;&gt;"",'[1]Leakage Tree Data'!D93,"")</f>
        <v>929408.066162109</v>
      </c>
      <c s="72">
        <f>IF('[1]Leakage Tree Data'!E93&lt;&gt;"",'[1]Leakage Tree Data'!E93,"")</f>
        <v>0.767017054073166</v>
      </c>
      <c s="72">
        <f>IF('[1]Leakage Tree Data'!F93&lt;&gt;"",'[1]Leakage Tree Data'!F93,"")</f>
        <v>120242352.226074</v>
      </c>
      <c s="72">
        <f>IF('[1]Leakage Tree Data'!G93&lt;&gt;"",'[1]Leakage Tree Data'!G93,"")</f>
        <v>99.2329829459268</v>
      </c>
      <c s="72">
        <f>IF('[1]Leakage Tree Data'!H93&lt;&gt;"",'[1]Leakage Tree Data'!H93,"")</f>
        <v>61518209.9918823</v>
      </c>
      <c s="72" t="str">
        <f>IF('[1]Leakage Tree Data'!I93&lt;&gt;"",'[1]Leakage Tree Data'!I93,"")</f>
        <v>GroceryX</v>
      </c>
      <c s="72">
        <f>IF('[1]Leakage Tree Data'!J93&lt;&gt;"",'[1]Leakage Tree Data'!J93,"")</f>
        <v>99.8095207455649</v>
      </c>
      <c s="72">
        <f>IF('[1]Leakage Tree Data'!K93&lt;&gt;"",'[1]Leakage Tree Data'!K93,"")</f>
        <v>117179.427734375</v>
      </c>
      <c s="72">
        <f>IF('[1]Leakage Tree Data'!L93&lt;&gt;"",'[1]Leakage Tree Data'!L93,"")</f>
      </c>
      <c s="72">
        <f>IF('[1]Leakage Tree Data'!M93&lt;&gt;"",'[1]Leakage Tree Data'!M93,"")</f>
      </c>
      <c s="72">
        <f>IF('[1]Leakage Tree Data'!N93&lt;&gt;"",'[1]Leakage Tree Data'!N93,"")</f>
      </c>
      <c s="72">
        <f>IF('[1]Leakage Tree Data'!O93&lt;&gt;"",'[1]Leakage Tree Data'!O93,"")</f>
        <v>20.3541612154375</v>
      </c>
      <c s="72">
        <f>IF('[1]Leakage Tree Data'!P93&lt;&gt;"",'[1]Leakage Tree Data'!P93,"")</f>
        <v>251338.639311686</v>
      </c>
      <c s="72">
        <f>IF('[1]Leakage Tree Data'!Q93&lt;&gt;"",'[1]Leakage Tree Data'!Q93,"")</f>
      </c>
      <c s="72">
        <f>IF('[1]Leakage Tree Data'!R93&lt;&gt;"",'[1]Leakage Tree Data'!R93,"")</f>
        <v>1017625.85098267</v>
      </c>
      <c s="72">
        <f>IF('[1]Leakage Tree Data'!S93&lt;&gt;"",'[1]Leakage Tree Data'!S93,"")</f>
        <v>-59435.8521728516</v>
      </c>
      <c s="72">
        <f>IF('[1]Leakage Tree Data'!T93&lt;&gt;"",'[1]Leakage Tree Data'!T93,"")</f>
        <v>-0.0559624654692359</v>
      </c>
      <c s="72">
        <f>IF('[1]Leakage Tree Data'!U93&lt;&gt;"",'[1]Leakage Tree Data'!U93,"")</f>
        <v>1077061.70315552</v>
      </c>
      <c s="72">
        <f>IF('[1]Leakage Tree Data'!V93&lt;&gt;"",'[1]Leakage Tree Data'!V93,"")</f>
        <v>0.0559624654692357</v>
      </c>
      <c s="72">
        <f>IF('[1]Leakage Tree Data'!W93&lt;&gt;"",'[1]Leakage Tree Data'!W93,"")</f>
        <v>-1855949.2237854</v>
      </c>
      <c s="72">
        <f>IF('[1]Leakage Tree Data'!X93&lt;&gt;"",'[1]Leakage Tree Data'!X93,"")</f>
      </c>
      <c s="72">
        <f>IF('[1]Leakage Tree Data'!Y93&lt;&gt;"",'[1]Leakage Tree Data'!Y93,"")</f>
        <v>0.0612117596942454</v>
      </c>
      <c s="72">
        <f>IF('[1]Leakage Tree Data'!Z93&lt;&gt;"",'[1]Leakage Tree Data'!Z93,"")</f>
        <v>-42327.6362915039</v>
      </c>
      <c s="72">
        <f>IF('[1]Leakage Tree Data'!AA93&lt;&gt;"",'[1]Leakage Tree Data'!AA93,"")</f>
      </c>
      <c s="72">
        <f>IF('[1]Leakage Tree Data'!AB93&lt;&gt;"",'[1]Leakage Tree Data'!AB93,"")</f>
      </c>
      <c s="72">
        <f>IF('[1]Leakage Tree Data'!AC93&lt;&gt;"",'[1]Leakage Tree Data'!AC93,"")</f>
      </c>
      <c s="72">
        <f>IF('[1]Leakage Tree Data'!AD93&lt;&gt;"",'[1]Leakage Tree Data'!AD93,"")</f>
        <v>-3.50574575501345</v>
      </c>
      <c s="72">
        <f>IF('[1]Leakage Tree Data'!AE93&lt;&gt;"",'[1]Leakage Tree Data'!AE93,"")</f>
      </c>
      <c s="73">
        <f t="shared" si="21"/>
      </c>
      <c s="73">
        <f t="shared" si="22"/>
      </c>
      <c s="73">
        <f t="shared" si="23"/>
      </c>
      <c s="73">
        <f t="shared" si="24"/>
      </c>
      <c s="74">
        <f t="shared" si="25"/>
      </c>
      <c s="74">
        <f t="shared" si="26"/>
      </c>
      <c s="69" t="str">
        <f t="shared" si="17"/>
        <v>Total US - Tom Thumb</v>
      </c>
      <c s="69" t="str">
        <f t="shared" si="18"/>
        <v>Total US - GroceryX</v>
      </c>
      <c s="77"/>
    </row>
    <row r="195" spans="1:141" ht="15">
      <c r="A19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195,$AL$8:$AL$15,1,FALSE))=TRUE,IF(AND(CV195=CW195,CV195&lt;&gt;"",DI$111&lt;&gt;"",DK195&lt;&gt;""),IF(CW$101="Y",DK195-IF(ISERROR(VLOOKUP(CV195,$CA$113:$DK$300,37,FALSE))=TRUE,0,IF(VLOOKUP(CV195,$CA$113:$DK$300,37,FALSE)="",0,VLOOKUP(CV195,$CA$113:$DK$300,37,FALSE))),DK195-IF(AND(CW$102="Y",CV195=$CW$111),DI$111,0)),""),"")</f>
      </c>
      <c s="76">
        <f>IF(ISERROR(VLOOKUP(CV195,$AL$8:$AL$15,1,FALSE))=TRUE,IF(CB195&lt;&gt;"",IF(CB195&gt;0,IF(Z$4&lt;&gt;"",MIN(4,RANK(CB195,$CB$111:$CB$300)),RANK(CB195,$CB$111:$CB$300)),""),""),"")</f>
      </c>
      <c s="75">
        <f>IF(ISERROR(VLOOKUP(CV195,$AL$8:$AL$15,1,FALSE))=TRUE,IF(AND(ISERROR(FIND("NeighMkt",$CX$102))=FALSE,LEFT($CW$111,10)="ALL OUTLET",$CA195&lt;&gt;"",DK195&lt;&gt;""),"",IF(AND($CV195&lt;&gt;$CW195,$CW195=CD$110),$DK195,"")),"")</f>
      </c>
      <c s="76">
        <f>IF(ISERROR(VLOOKUP(CV195,$AL$8:$AL$15,1,FALSE))=TRUE,IF(CD195&lt;&gt;"",IF(CD195&gt;0,RANK(CD195,$CD$111:$CD$300),""),""),"")</f>
      </c>
      <c s="75">
        <f>IF(ISERROR(VLOOKUP(CV195,$AL$8:$AL$15,1,FALSE))=TRUE,IF(AND(ISERROR(FIND("NeighMkt",$CX$102))=FALSE,LEFT($CW$111,10)="ALL OUTLET",$CA195&lt;&gt;"",DK195&lt;&gt;""),"",IF(AND($CV195&lt;&gt;$CW195,$CW195=CF$110),$DK195,"")),"")</f>
      </c>
      <c s="76">
        <f>IF(ISERROR(VLOOKUP(CV195,$AL$8:$AL$15,1,FALSE))=TRUE,IF(CF195&lt;&gt;"",IF(CF195&gt;0,RANK(CF195,$CF$111:$CF$300),""),""),"")</f>
      </c>
      <c s="75">
        <f>IF(ISERROR(VLOOKUP(CV195,$AL$8:$AL$15,1,FALSE))=TRUE,IF(AND(ISERROR(FIND("NeighMkt",$CX$102))=FALSE,LEFT($CW$111,10)="ALL OUTLET",$CA195&lt;&gt;"",DK195&lt;&gt;""),"",IF(AND($CV195&lt;&gt;$CW195,$CW195=CH$110),$DK195,"")),"")</f>
      </c>
      <c s="76">
        <f>IF(ISERROR(VLOOKUP(CV195,$AL$8:$AL$15,1,FALSE))=TRUE,IF(CH195&lt;&gt;"",IF(CH195&gt;0,RANK(CH195,$CH$111:$CH$300),""),""),"")</f>
      </c>
      <c s="75">
        <f>IF(ISERROR(VLOOKUP(CV195,$AL$8:$AL$15,1,FALSE))=TRUE,IF(AND(ISERROR(FIND("NeighMkt",$CX$102))=FALSE,LEFT($CW$111,10)="ALL OUTLET",$CA195&lt;&gt;"",DK195&lt;&gt;""),"",IF($Z$4="",IF(AND($CV195&lt;&gt;$CW195,$CW195=CJ$110),$DK195,""),IF(AND($CV195&lt;&gt;$CW195,$CW195&lt;&gt;CD$110,$CW195&lt;&gt;CF$110,$CW195&lt;&gt;CH$110,$CW195&lt;&gt;$CV$111),$DK195,""))),"")</f>
      </c>
      <c s="76">
        <f>IF(ISERROR(VLOOKUP(CV195,$AL$8:$AL$15,1,FALSE))=TRUE,IF(CJ195&lt;&gt;"",IF(CJ195&gt;0,RANK(CJ195,$CJ$111:$CJ$300),""),""),"")</f>
      </c>
      <c s="75">
        <f>IF(ISERROR(VLOOKUP(CV195,$AL$8:$AL$15,1,FALSE))=TRUE,IF(AND(CV195=CW195,CV195&lt;&gt;"",DJ195&lt;&gt;""),IF(AND(ISERROR(FIND("NeighMkt",$CX$102))=FALSE,LEFT($CW$111,10)="ALL OUTLET"),DJ195-IF(ISERROR(VLOOKUP(CV195,$CA$113:$DK$300,36,FALSE))=TRUE,0,IF(VLOOKUP(CV195,$CA$113:$DK$300,36,FALSE)="",0,VLOOKUP(CV195,$CA$113:$DK$300,36,FALSE))),DJ195),""),"")</f>
      </c>
      <c s="76">
        <f>IF(ISERROR(VLOOKUP(CV195,$AL$8:$AL$15,1,FALSE))=TRUE,IF(CL195&lt;&gt;"",IF(CL195&gt;0,IF($Z$4&lt;&gt;"",MIN(4,RANK(CL195,$CL$111:$CL$300)),RANK(CL195,$CL$111:$CL$300)),""),""),"")</f>
      </c>
      <c s="75">
        <f>IF(ISERROR(VLOOKUP(CV195,$AL$8:$AL$15,1,FALSE))=TRUE,IF(AND(ISERROR(FIND("NeighMkt",$CX$102))=FALSE,LEFT($CW$111,10)="ALL OUTLET",$CA195&lt;&gt;"",DJ195&lt;&gt;""),"",IF(AND($CV195&lt;&gt;$CW195,$CW195=CN$110),$DJ195,"")),"")</f>
        <v>4787853.6779213</v>
      </c>
      <c s="76">
        <f>IF(ISERROR(VLOOKUP(CV195,$AL$8:$AL$15,1,FALSE))=TRUE,IF(CN195&lt;&gt;"",IF(CN195&gt;0,RANK(CN195,$CN$111:$CN$300),""),""),"")</f>
        <v>32</v>
      </c>
      <c s="75">
        <f>IF(ISERROR(VLOOKUP(CV195,$AL$8:$AL$15,1,FALSE))=TRUE,IF(AND(ISERROR(FIND("NeighMkt",$CX$102))=FALSE,LEFT($CW$111,10)="ALL OUTLET",$CA195&lt;&gt;"",DJ195&lt;&gt;""),"",IF(AND($CV195&lt;&gt;$CW195,$CW195=CP$110),$DJ195,"")),"")</f>
      </c>
      <c s="76">
        <f>IF(ISERROR(VLOOKUP(CV195,$AL$8:$AL$15,1,FALSE))=TRUE,IF(CP195&lt;&gt;"",IF(CP195&gt;0,RANK(CP195,$CP$111:$CP$300),""),""),"")</f>
      </c>
      <c s="75">
        <f>IF(ISERROR(VLOOKUP(CV195,$AL$8:$AL$15,1,FALSE))=TRUE,IF(AND(ISERROR(FIND("NeighMkt",$CX$102))=FALSE,LEFT($CW$111,10)="ALL OUTLET",$CA195&lt;&gt;"",DJ195&lt;&gt;""),"",IF(AND($CV195&lt;&gt;$CW195,$CW195=CR$110),$DJ195,"")),"")</f>
      </c>
      <c s="76">
        <f>IF(ISERROR(VLOOKUP(CV195,$AL$8:$AL$15,1,FALSE))=TRUE,IF(CR195&lt;&gt;"",IF(CR195&gt;0,RANK(CR195,$CR$111:$CR$300),""),""),"")</f>
      </c>
      <c s="75">
        <f>IF(ISERROR(VLOOKUP(CV195,$AL$8:$AL$15,1,FALSE))=TRUE,IF(AND(ISERROR(FIND("NeighMkt",$CX$102))=FALSE,LEFT($CW$111,10)="ALL OUTLET",$CA195&lt;&gt;"",DJ195&lt;&gt;""),"",IF($Z$4="",IF(AND($CV195&lt;&gt;$CW195,$CW195=CT$110),$DJ195,""),IF(AND($CV195&lt;&gt;$CW195,$CW195&lt;&gt;CN$110,$CW195&lt;&gt;CP$110,$CW195&lt;&gt;CR$110,$CW195&lt;&gt;$CV$111),$DJ195,""))),"")</f>
      </c>
      <c s="76">
        <f>IF(ISERROR(VLOOKUP(CV195,$AL$8:$AL$15,1,FALSE))=TRUE,IF(CT195&lt;&gt;"",IF(CT195&gt;0,RANK(CT195,$CT$111:$CT$300),""),""),"")</f>
      </c>
      <c s="65" t="str">
        <f t="shared" si="19"/>
        <v>Tops</v>
      </c>
      <c s="65" t="str">
        <f t="shared" si="20"/>
        <v>GroceryX</v>
      </c>
      <c s="72" t="str">
        <f>IF('[1]Leakage Tree Data'!A94&lt;&gt;"",'[1]Leakage Tree Data'!A94,"")</f>
        <v>Total US - Tops</v>
      </c>
      <c s="72" t="str">
        <f>IF('[1]Leakage Tree Data'!B94&lt;&gt;"",'[1]Leakage Tree Data'!B94,"")</f>
        <v>Total US - GroceryX</v>
      </c>
      <c s="72">
        <f>IF('[1]Leakage Tree Data'!C94&lt;&gt;"",'[1]Leakage Tree Data'!C94,"")</f>
        <v>121171760.292236</v>
      </c>
      <c s="72">
        <f>IF('[1]Leakage Tree Data'!D94&lt;&gt;"",'[1]Leakage Tree Data'!D94,"")</f>
        <v>1555837.96325684</v>
      </c>
      <c s="72">
        <f>IF('[1]Leakage Tree Data'!E94&lt;&gt;"",'[1]Leakage Tree Data'!E94,"")</f>
        <v>1.28399386086704</v>
      </c>
      <c s="72">
        <f>IF('[1]Leakage Tree Data'!F94&lt;&gt;"",'[1]Leakage Tree Data'!F94,"")</f>
        <v>119615922.328979</v>
      </c>
      <c s="72">
        <f>IF('[1]Leakage Tree Data'!G94&lt;&gt;"",'[1]Leakage Tree Data'!G94,"")</f>
        <v>98.716006139133</v>
      </c>
      <c s="72">
        <f>IF('[1]Leakage Tree Data'!H94&lt;&gt;"",'[1]Leakage Tree Data'!H94,"")</f>
        <v>61518209.9918823</v>
      </c>
      <c s="72" t="str">
        <f>IF('[1]Leakage Tree Data'!I94&lt;&gt;"",'[1]Leakage Tree Data'!I94,"")</f>
        <v>GroceryX</v>
      </c>
      <c s="72">
        <f>IF('[1]Leakage Tree Data'!J94&lt;&gt;"",'[1]Leakage Tree Data'!J94,"")</f>
        <v>99.4848697583197</v>
      </c>
      <c s="72">
        <f>IF('[1]Leakage Tree Data'!K94&lt;&gt;"",'[1]Leakage Tree Data'!K94,"")</f>
        <v>316898.903808594</v>
      </c>
      <c s="72">
        <f>IF('[1]Leakage Tree Data'!L94&lt;&gt;"",'[1]Leakage Tree Data'!L94,"")</f>
      </c>
      <c s="72">
        <f>IF('[1]Leakage Tree Data'!M94&lt;&gt;"",'[1]Leakage Tree Data'!M94,"")</f>
        <v>4787853.6779213</v>
      </c>
      <c s="72">
        <f>IF('[1]Leakage Tree Data'!N94&lt;&gt;"",'[1]Leakage Tree Data'!N94,"")</f>
      </c>
      <c s="72">
        <f>IF('[1]Leakage Tree Data'!O94&lt;&gt;"",'[1]Leakage Tree Data'!O94,"")</f>
        <v>40.2448215629572</v>
      </c>
      <c s="72">
        <f>IF('[1]Leakage Tree Data'!P94&lt;&gt;"",'[1]Leakage Tree Data'!P94,"")</f>
        <v>360108.694349939</v>
      </c>
      <c s="72">
        <f>IF('[1]Leakage Tree Data'!Q94&lt;&gt;"",'[1]Leakage Tree Data'!Q94,"")</f>
      </c>
      <c s="72">
        <f>IF('[1]Leakage Tree Data'!R94&lt;&gt;"",'[1]Leakage Tree Data'!R94,"")</f>
        <v>1017625.85098267</v>
      </c>
      <c s="72">
        <f>IF('[1]Leakage Tree Data'!S94&lt;&gt;"",'[1]Leakage Tree Data'!S94,"")</f>
        <v>-35271.9302368164</v>
      </c>
      <c s="72">
        <f>IF('[1]Leakage Tree Data'!T94&lt;&gt;"",'[1]Leakage Tree Data'!T94,"")</f>
        <v>-0.0402301459827532</v>
      </c>
      <c s="72">
        <f>IF('[1]Leakage Tree Data'!U94&lt;&gt;"",'[1]Leakage Tree Data'!U94,"")</f>
        <v>1052897.78121948</v>
      </c>
      <c s="72">
        <f>IF('[1]Leakage Tree Data'!V94&lt;&gt;"",'[1]Leakage Tree Data'!V94,"")</f>
        <v>0.040230145982747</v>
      </c>
      <c s="72">
        <f>IF('[1]Leakage Tree Data'!W94&lt;&gt;"",'[1]Leakage Tree Data'!W94,"")</f>
        <v>-1855949.2237854</v>
      </c>
      <c s="72">
        <f>IF('[1]Leakage Tree Data'!X94&lt;&gt;"",'[1]Leakage Tree Data'!X94,"")</f>
      </c>
      <c s="72">
        <f>IF('[1]Leakage Tree Data'!Y94&lt;&gt;"",'[1]Leakage Tree Data'!Y94,"")</f>
        <v>0.109544323825034</v>
      </c>
      <c s="72">
        <f>IF('[1]Leakage Tree Data'!Z94&lt;&gt;"",'[1]Leakage Tree Data'!Z94,"")</f>
        <v>-78983.3499145508</v>
      </c>
      <c s="72">
        <f>IF('[1]Leakage Tree Data'!AA94&lt;&gt;"",'[1]Leakage Tree Data'!AA94,"")</f>
      </c>
      <c s="72">
        <f>IF('[1]Leakage Tree Data'!AB94&lt;&gt;"",'[1]Leakage Tree Data'!AB94,"")</f>
        <v>-1566353.72393417</v>
      </c>
      <c s="72">
        <f>IF('[1]Leakage Tree Data'!AC94&lt;&gt;"",'[1]Leakage Tree Data'!AC94,"")</f>
      </c>
      <c s="72">
        <f>IF('[1]Leakage Tree Data'!AD94&lt;&gt;"",'[1]Leakage Tree Data'!AD94,"")</f>
        <v>-5.85580459166651</v>
      </c>
      <c s="72">
        <f>IF('[1]Leakage Tree Data'!AE94&lt;&gt;"",'[1]Leakage Tree Data'!AE94,"")</f>
      </c>
      <c s="73">
        <f t="shared" si="21"/>
      </c>
      <c s="73">
        <f t="shared" si="22"/>
      </c>
      <c s="73">
        <f t="shared" si="23"/>
      </c>
      <c s="73">
        <f t="shared" si="24"/>
      </c>
      <c s="74">
        <f t="shared" si="25"/>
      </c>
      <c s="74">
        <f t="shared" si="26"/>
      </c>
      <c s="69" t="str">
        <f t="shared" si="17"/>
        <v>Total US - Tops</v>
      </c>
      <c s="69" t="str">
        <f t="shared" si="18"/>
        <v>Total US - GroceryX</v>
      </c>
      <c s="77"/>
    </row>
    <row r="196" spans="1:141" ht="15">
      <c r="A19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196,$AL$8:$AL$15,1,FALSE))=TRUE,IF(AND(CV196=CW196,CV196&lt;&gt;"",DI$111&lt;&gt;"",DK196&lt;&gt;""),IF(CW$101="Y",DK196-IF(ISERROR(VLOOKUP(CV196,$CA$113:$DK$300,37,FALSE))=TRUE,0,IF(VLOOKUP(CV196,$CA$113:$DK$300,37,FALSE)="",0,VLOOKUP(CV196,$CA$113:$DK$300,37,FALSE))),DK196-IF(AND(CW$102="Y",CV196=$CW$111),DI$111,0)),""),"")</f>
      </c>
      <c s="76">
        <f>IF(ISERROR(VLOOKUP(CV196,$AL$8:$AL$15,1,FALSE))=TRUE,IF(CB196&lt;&gt;"",IF(CB196&gt;0,IF(Z$4&lt;&gt;"",MIN(4,RANK(CB196,$CB$111:$CB$300)),RANK(CB196,$CB$111:$CB$300)),""),""),"")</f>
      </c>
      <c s="75">
        <f>IF(ISERROR(VLOOKUP(CV196,$AL$8:$AL$15,1,FALSE))=TRUE,IF(AND(ISERROR(FIND("NeighMkt",$CX$102))=FALSE,LEFT($CW$111,10)="ALL OUTLET",$CA196&lt;&gt;"",DK196&lt;&gt;""),"",IF(AND($CV196&lt;&gt;$CW196,$CW196=CD$110),$DK196,"")),"")</f>
      </c>
      <c s="76">
        <f>IF(ISERROR(VLOOKUP(CV196,$AL$8:$AL$15,1,FALSE))=TRUE,IF(CD196&lt;&gt;"",IF(CD196&gt;0,RANK(CD196,$CD$111:$CD$300),""),""),"")</f>
      </c>
      <c s="75">
        <f>IF(ISERROR(VLOOKUP(CV196,$AL$8:$AL$15,1,FALSE))=TRUE,IF(AND(ISERROR(FIND("NeighMkt",$CX$102))=FALSE,LEFT($CW$111,10)="ALL OUTLET",$CA196&lt;&gt;"",DK196&lt;&gt;""),"",IF(AND($CV196&lt;&gt;$CW196,$CW196=CF$110),$DK196,"")),"")</f>
      </c>
      <c s="76">
        <f>IF(ISERROR(VLOOKUP(CV196,$AL$8:$AL$15,1,FALSE))=TRUE,IF(CF196&lt;&gt;"",IF(CF196&gt;0,RANK(CF196,$CF$111:$CF$300),""),""),"")</f>
      </c>
      <c s="75">
        <f>IF(ISERROR(VLOOKUP(CV196,$AL$8:$AL$15,1,FALSE))=TRUE,IF(AND(ISERROR(FIND("NeighMkt",$CX$102))=FALSE,LEFT($CW$111,10)="ALL OUTLET",$CA196&lt;&gt;"",DK196&lt;&gt;""),"",IF(AND($CV196&lt;&gt;$CW196,$CW196=CH$110),$DK196,"")),"")</f>
      </c>
      <c s="76">
        <f>IF(ISERROR(VLOOKUP(CV196,$AL$8:$AL$15,1,FALSE))=TRUE,IF(CH196&lt;&gt;"",IF(CH196&gt;0,RANK(CH196,$CH$111:$CH$300),""),""),"")</f>
      </c>
      <c s="75">
        <f>IF(ISERROR(VLOOKUP(CV196,$AL$8:$AL$15,1,FALSE))=TRUE,IF(AND(ISERROR(FIND("NeighMkt",$CX$102))=FALSE,LEFT($CW$111,10)="ALL OUTLET",$CA196&lt;&gt;"",DK196&lt;&gt;""),"",IF($Z$4="",IF(AND($CV196&lt;&gt;$CW196,$CW196=CJ$110),$DK196,""),IF(AND($CV196&lt;&gt;$CW196,$CW196&lt;&gt;CD$110,$CW196&lt;&gt;CF$110,$CW196&lt;&gt;CH$110,$CW196&lt;&gt;$CV$111),$DK196,""))),"")</f>
      </c>
      <c s="76">
        <f>IF(ISERROR(VLOOKUP(CV196,$AL$8:$AL$15,1,FALSE))=TRUE,IF(CJ196&lt;&gt;"",IF(CJ196&gt;0,RANK(CJ196,$CJ$111:$CJ$300),""),""),"")</f>
      </c>
      <c s="75">
        <f>IF(ISERROR(VLOOKUP(CV196,$AL$8:$AL$15,1,FALSE))=TRUE,IF(AND(CV196=CW196,CV196&lt;&gt;"",DJ196&lt;&gt;""),IF(AND(ISERROR(FIND("NeighMkt",$CX$102))=FALSE,LEFT($CW$111,10)="ALL OUTLET"),DJ196-IF(ISERROR(VLOOKUP(CV196,$CA$113:$DK$300,36,FALSE))=TRUE,0,IF(VLOOKUP(CV196,$CA$113:$DK$300,36,FALSE)="",0,VLOOKUP(CV196,$CA$113:$DK$300,36,FALSE))),DJ196),""),"")</f>
      </c>
      <c s="76">
        <f>IF(ISERROR(VLOOKUP(CV196,$AL$8:$AL$15,1,FALSE))=TRUE,IF(CL196&lt;&gt;"",IF(CL196&gt;0,IF($Z$4&lt;&gt;"",MIN(4,RANK(CL196,$CL$111:$CL$300)),RANK(CL196,$CL$111:$CL$300)),""),""),"")</f>
      </c>
      <c s="75">
        <f>IF(ISERROR(VLOOKUP(CV196,$AL$8:$AL$15,1,FALSE))=TRUE,IF(AND(ISERROR(FIND("NeighMkt",$CX$102))=FALSE,LEFT($CW$111,10)="ALL OUTLET",$CA196&lt;&gt;"",DJ196&lt;&gt;""),"",IF(AND($CV196&lt;&gt;$CW196,$CW196=CN$110),$DJ196,"")),"")</f>
        <v>674171.487098694</v>
      </c>
      <c s="76">
        <f>IF(ISERROR(VLOOKUP(CV196,$AL$8:$AL$15,1,FALSE))=TRUE,IF(CN196&lt;&gt;"",IF(CN196&gt;0,RANK(CN196,$CN$111:$CN$300),""),""),"")</f>
        <v>54</v>
      </c>
      <c s="75">
        <f>IF(ISERROR(VLOOKUP(CV196,$AL$8:$AL$15,1,FALSE))=TRUE,IF(AND(ISERROR(FIND("NeighMkt",$CX$102))=FALSE,LEFT($CW$111,10)="ALL OUTLET",$CA196&lt;&gt;"",DJ196&lt;&gt;""),"",IF(AND($CV196&lt;&gt;$CW196,$CW196=CP$110),$DJ196,"")),"")</f>
      </c>
      <c s="76">
        <f>IF(ISERROR(VLOOKUP(CV196,$AL$8:$AL$15,1,FALSE))=TRUE,IF(CP196&lt;&gt;"",IF(CP196&gt;0,RANK(CP196,$CP$111:$CP$300),""),""),"")</f>
      </c>
      <c s="75">
        <f>IF(ISERROR(VLOOKUP(CV196,$AL$8:$AL$15,1,FALSE))=TRUE,IF(AND(ISERROR(FIND("NeighMkt",$CX$102))=FALSE,LEFT($CW$111,10)="ALL OUTLET",$CA196&lt;&gt;"",DJ196&lt;&gt;""),"",IF(AND($CV196&lt;&gt;$CW196,$CW196=CR$110),$DJ196,"")),"")</f>
      </c>
      <c s="76">
        <f>IF(ISERROR(VLOOKUP(CV196,$AL$8:$AL$15,1,FALSE))=TRUE,IF(CR196&lt;&gt;"",IF(CR196&gt;0,RANK(CR196,$CR$111:$CR$300),""),""),"")</f>
      </c>
      <c s="75">
        <f>IF(ISERROR(VLOOKUP(CV196,$AL$8:$AL$15,1,FALSE))=TRUE,IF(AND(ISERROR(FIND("NeighMkt",$CX$102))=FALSE,LEFT($CW$111,10)="ALL OUTLET",$CA196&lt;&gt;"",DJ196&lt;&gt;""),"",IF($Z$4="",IF(AND($CV196&lt;&gt;$CW196,$CW196=CT$110),$DJ196,""),IF(AND($CV196&lt;&gt;$CW196,$CW196&lt;&gt;CN$110,$CW196&lt;&gt;CP$110,$CW196&lt;&gt;CR$110,$CW196&lt;&gt;$CV$111),$DJ196,""))),"")</f>
      </c>
      <c s="76">
        <f>IF(ISERROR(VLOOKUP(CV196,$AL$8:$AL$15,1,FALSE))=TRUE,IF(CT196&lt;&gt;"",IF(CT196&gt;0,RANK(CT196,$CT$111:$CT$300),""),""),"")</f>
      </c>
      <c s="65" t="str">
        <f t="shared" si="19"/>
        <v>Trader Joes</v>
      </c>
      <c s="65" t="str">
        <f t="shared" si="20"/>
        <v>GroceryX</v>
      </c>
      <c s="72" t="str">
        <f>IF('[1]Leakage Tree Data'!A95&lt;&gt;"",'[1]Leakage Tree Data'!A95,"")</f>
        <v>Total US - Trader Joes</v>
      </c>
      <c s="72" t="str">
        <f>IF('[1]Leakage Tree Data'!B95&lt;&gt;"",'[1]Leakage Tree Data'!B95,"")</f>
        <v>Total US - GroceryX</v>
      </c>
      <c s="72">
        <f>IF('[1]Leakage Tree Data'!C95&lt;&gt;"",'[1]Leakage Tree Data'!C95,"")</f>
        <v>121171760.292236</v>
      </c>
      <c s="72">
        <f>IF('[1]Leakage Tree Data'!D95&lt;&gt;"",'[1]Leakage Tree Data'!D95,"")</f>
        <v>14800811.912262</v>
      </c>
      <c s="72">
        <f>IF('[1]Leakage Tree Data'!E95&lt;&gt;"",'[1]Leakage Tree Data'!E95,"")</f>
        <v>12.2147370613137</v>
      </c>
      <c s="72">
        <f>IF('[1]Leakage Tree Data'!F95&lt;&gt;"",'[1]Leakage Tree Data'!F95,"")</f>
        <v>106370948.379974</v>
      </c>
      <c s="72">
        <f>IF('[1]Leakage Tree Data'!G95&lt;&gt;"",'[1]Leakage Tree Data'!G95,"")</f>
        <v>87.7852629386863</v>
      </c>
      <c s="72">
        <f>IF('[1]Leakage Tree Data'!H95&lt;&gt;"",'[1]Leakage Tree Data'!H95,"")</f>
        <v>61518209.9918823</v>
      </c>
      <c s="72" t="str">
        <f>IF('[1]Leakage Tree Data'!I95&lt;&gt;"",'[1]Leakage Tree Data'!I95,"")</f>
        <v>GroceryX</v>
      </c>
      <c s="72">
        <f>IF('[1]Leakage Tree Data'!J95&lt;&gt;"",'[1]Leakage Tree Data'!J95,"")</f>
        <v>99.6583601391889</v>
      </c>
      <c s="72">
        <f>IF('[1]Leakage Tree Data'!K95&lt;&gt;"",'[1]Leakage Tree Data'!K95,"")</f>
        <v>210170.726989746</v>
      </c>
      <c s="72">
        <f>IF('[1]Leakage Tree Data'!L95&lt;&gt;"",'[1]Leakage Tree Data'!L95,"")</f>
      </c>
      <c s="72">
        <f>IF('[1]Leakage Tree Data'!M95&lt;&gt;"",'[1]Leakage Tree Data'!M95,"")</f>
        <v>674171.487098694</v>
      </c>
      <c s="72">
        <f>IF('[1]Leakage Tree Data'!N95&lt;&gt;"",'[1]Leakage Tree Data'!N95,"")</f>
      </c>
      <c s="72">
        <f>IF('[1]Leakage Tree Data'!O95&lt;&gt;"",'[1]Leakage Tree Data'!O95,"")</f>
        <v>1.91200676002488</v>
      </c>
      <c s="72">
        <f>IF('[1]Leakage Tree Data'!P95&lt;&gt;"",'[1]Leakage Tree Data'!P95,"")</f>
        <v>1434604.39813079</v>
      </c>
      <c s="72">
        <f>IF('[1]Leakage Tree Data'!Q95&lt;&gt;"",'[1]Leakage Tree Data'!Q95,"")</f>
      </c>
      <c s="72">
        <f>IF('[1]Leakage Tree Data'!R95&lt;&gt;"",'[1]Leakage Tree Data'!R95,"")</f>
        <v>1017625.85098267</v>
      </c>
      <c s="72">
        <f>IF('[1]Leakage Tree Data'!S95&lt;&gt;"",'[1]Leakage Tree Data'!S95,"")</f>
        <v>564755.94329834</v>
      </c>
      <c s="72">
        <f>IF('[1]Leakage Tree Data'!T95&lt;&gt;"",'[1]Leakage Tree Data'!T95,"")</f>
        <v>0.366575501859407</v>
      </c>
      <c s="72">
        <f>IF('[1]Leakage Tree Data'!U95&lt;&gt;"",'[1]Leakage Tree Data'!U95,"")</f>
        <v>452869.907684326</v>
      </c>
      <c s="72">
        <f>IF('[1]Leakage Tree Data'!V95&lt;&gt;"",'[1]Leakage Tree Data'!V95,"")</f>
        <v>-0.366575501859415</v>
      </c>
      <c s="72">
        <f>IF('[1]Leakage Tree Data'!W95&lt;&gt;"",'[1]Leakage Tree Data'!W95,"")</f>
        <v>-1855949.2237854</v>
      </c>
      <c s="72">
        <f>IF('[1]Leakage Tree Data'!X95&lt;&gt;"",'[1]Leakage Tree Data'!X95,"")</f>
      </c>
      <c s="72">
        <f>IF('[1]Leakage Tree Data'!Y95&lt;&gt;"",'[1]Leakage Tree Data'!Y95,"")</f>
        <v>-0.0872656172043804</v>
      </c>
      <c s="72">
        <f>IF('[1]Leakage Tree Data'!Z95&lt;&gt;"",'[1]Leakage Tree Data'!Z95,"")</f>
        <v>48963.1888427734</v>
      </c>
      <c s="72">
        <f>IF('[1]Leakage Tree Data'!AA95&lt;&gt;"",'[1]Leakage Tree Data'!AA95,"")</f>
      </c>
      <c s="72">
        <f>IF('[1]Leakage Tree Data'!AB95&lt;&gt;"",'[1]Leakage Tree Data'!AB95,"")</f>
        <v>-285247.09078598</v>
      </c>
      <c s="72">
        <f>IF('[1]Leakage Tree Data'!AC95&lt;&gt;"",'[1]Leakage Tree Data'!AC95,"")</f>
      </c>
      <c s="72">
        <f>IF('[1]Leakage Tree Data'!AD95&lt;&gt;"",'[1]Leakage Tree Data'!AD95,"")</f>
        <v>0.158113114502253</v>
      </c>
      <c s="72">
        <f>IF('[1]Leakage Tree Data'!AE95&lt;&gt;"",'[1]Leakage Tree Data'!AE95,"")</f>
      </c>
      <c s="73">
        <f t="shared" si="21"/>
      </c>
      <c s="73">
        <f t="shared" si="22"/>
      </c>
      <c s="73">
        <f t="shared" si="23"/>
      </c>
      <c s="73">
        <f t="shared" si="24"/>
      </c>
      <c s="74">
        <f t="shared" si="25"/>
      </c>
      <c s="74">
        <f t="shared" si="26"/>
      </c>
      <c s="69" t="str">
        <f t="shared" si="17"/>
        <v>Total US - Trader Joes</v>
      </c>
      <c s="69" t="str">
        <f t="shared" si="18"/>
        <v>Total US - GroceryX</v>
      </c>
      <c s="77"/>
    </row>
    <row r="197" spans="1:141" ht="15">
      <c r="A19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197,$AL$8:$AL$15,1,FALSE))=TRUE,IF(AND(CV197=CW197,CV197&lt;&gt;"",DI$111&lt;&gt;"",DK197&lt;&gt;""),IF(CW$101="Y",DK197-IF(ISERROR(VLOOKUP(CV197,$CA$113:$DK$300,37,FALSE))=TRUE,0,IF(VLOOKUP(CV197,$CA$113:$DK$300,37,FALSE)="",0,VLOOKUP(CV197,$CA$113:$DK$300,37,FALSE))),DK197-IF(AND(CW$102="Y",CV197=$CW$111),DI$111,0)),""),"")</f>
      </c>
      <c s="76">
        <f>IF(ISERROR(VLOOKUP(CV197,$AL$8:$AL$15,1,FALSE))=TRUE,IF(CB197&lt;&gt;"",IF(CB197&gt;0,IF(Z$4&lt;&gt;"",MIN(4,RANK(CB197,$CB$111:$CB$300)),RANK(CB197,$CB$111:$CB$300)),""),""),"")</f>
      </c>
      <c s="75">
        <f>IF(ISERROR(VLOOKUP(CV197,$AL$8:$AL$15,1,FALSE))=TRUE,IF(AND(ISERROR(FIND("NeighMkt",$CX$102))=FALSE,LEFT($CW$111,10)="ALL OUTLET",$CA197&lt;&gt;"",DK197&lt;&gt;""),"",IF(AND($CV197&lt;&gt;$CW197,$CW197=CD$110),$DK197,"")),"")</f>
        <v>3427871.25872803</v>
      </c>
      <c s="76">
        <f>IF(ISERROR(VLOOKUP(CV197,$AL$8:$AL$15,1,FALSE))=TRUE,IF(CD197&lt;&gt;"",IF(CD197&gt;0,RANK(CD197,$CD$111:$CD$300),""),""),"")</f>
        <v>14</v>
      </c>
      <c s="75">
        <f>IF(ISERROR(VLOOKUP(CV197,$AL$8:$AL$15,1,FALSE))=TRUE,IF(AND(ISERROR(FIND("NeighMkt",$CX$102))=FALSE,LEFT($CW$111,10)="ALL OUTLET",$CA197&lt;&gt;"",DK197&lt;&gt;""),"",IF(AND($CV197&lt;&gt;$CW197,$CW197=CF$110),$DK197,"")),"")</f>
      </c>
      <c s="76">
        <f>IF(ISERROR(VLOOKUP(CV197,$AL$8:$AL$15,1,FALSE))=TRUE,IF(CF197&lt;&gt;"",IF(CF197&gt;0,RANK(CF197,$CF$111:$CF$300),""),""),"")</f>
      </c>
      <c s="75">
        <f>IF(ISERROR(VLOOKUP(CV197,$AL$8:$AL$15,1,FALSE))=TRUE,IF(AND(ISERROR(FIND("NeighMkt",$CX$102))=FALSE,LEFT($CW$111,10)="ALL OUTLET",$CA197&lt;&gt;"",DK197&lt;&gt;""),"",IF(AND($CV197&lt;&gt;$CW197,$CW197=CH$110),$DK197,"")),"")</f>
      </c>
      <c s="76">
        <f>IF(ISERROR(VLOOKUP(CV197,$AL$8:$AL$15,1,FALSE))=TRUE,IF(CH197&lt;&gt;"",IF(CH197&gt;0,RANK(CH197,$CH$111:$CH$300),""),""),"")</f>
      </c>
      <c s="75">
        <f>IF(ISERROR(VLOOKUP(CV197,$AL$8:$AL$15,1,FALSE))=TRUE,IF(AND(ISERROR(FIND("NeighMkt",$CX$102))=FALSE,LEFT($CW$111,10)="ALL OUTLET",$CA197&lt;&gt;"",DK197&lt;&gt;""),"",IF($Z$4="",IF(AND($CV197&lt;&gt;$CW197,$CW197=CJ$110),$DK197,""),IF(AND($CV197&lt;&gt;$CW197,$CW197&lt;&gt;CD$110,$CW197&lt;&gt;CF$110,$CW197&lt;&gt;CH$110,$CW197&lt;&gt;$CV$111),$DK197,""))),"")</f>
      </c>
      <c s="76">
        <f>IF(ISERROR(VLOOKUP(CV197,$AL$8:$AL$15,1,FALSE))=TRUE,IF(CJ197&lt;&gt;"",IF(CJ197&gt;0,RANK(CJ197,$CJ$111:$CJ$300),""),""),"")</f>
      </c>
      <c s="75">
        <f>IF(ISERROR(VLOOKUP(CV197,$AL$8:$AL$15,1,FALSE))=TRUE,IF(AND(CV197=CW197,CV197&lt;&gt;"",DJ197&lt;&gt;""),IF(AND(ISERROR(FIND("NeighMkt",$CX$102))=FALSE,LEFT($CW$111,10)="ALL OUTLET"),DJ197-IF(ISERROR(VLOOKUP(CV197,$CA$113:$DK$300,36,FALSE))=TRUE,0,IF(VLOOKUP(CV197,$CA$113:$DK$300,36,FALSE)="",0,VLOOKUP(CV197,$CA$113:$DK$300,36,FALSE))),DJ197),""),"")</f>
      </c>
      <c s="76">
        <f>IF(ISERROR(VLOOKUP(CV197,$AL$8:$AL$15,1,FALSE))=TRUE,IF(CL197&lt;&gt;"",IF(CL197&gt;0,IF($Z$4&lt;&gt;"",MIN(4,RANK(CL197,$CL$111:$CL$300)),RANK(CL197,$CL$111:$CL$300)),""),""),"")</f>
      </c>
      <c s="75">
        <f>IF(ISERROR(VLOOKUP(CV197,$AL$8:$AL$15,1,FALSE))=TRUE,IF(AND(ISERROR(FIND("NeighMkt",$CX$102))=FALSE,LEFT($CW$111,10)="ALL OUTLET",$CA197&lt;&gt;"",DJ197&lt;&gt;""),"",IF(AND($CV197&lt;&gt;$CW197,$CW197=CN$110),$DJ197,"")),"")</f>
        <v>4720912.22655487</v>
      </c>
      <c s="76">
        <f>IF(ISERROR(VLOOKUP(CV197,$AL$8:$AL$15,1,FALSE))=TRUE,IF(CN197&lt;&gt;"",IF(CN197&gt;0,RANK(CN197,$CN$111:$CN$300),""),""),"")</f>
        <v>33</v>
      </c>
      <c s="75">
        <f>IF(ISERROR(VLOOKUP(CV197,$AL$8:$AL$15,1,FALSE))=TRUE,IF(AND(ISERROR(FIND("NeighMkt",$CX$102))=FALSE,LEFT($CW$111,10)="ALL OUTLET",$CA197&lt;&gt;"",DJ197&lt;&gt;""),"",IF(AND($CV197&lt;&gt;$CW197,$CW197=CP$110),$DJ197,"")),"")</f>
      </c>
      <c s="76">
        <f>IF(ISERROR(VLOOKUP(CV197,$AL$8:$AL$15,1,FALSE))=TRUE,IF(CP197&lt;&gt;"",IF(CP197&gt;0,RANK(CP197,$CP$111:$CP$300),""),""),"")</f>
      </c>
      <c s="75">
        <f>IF(ISERROR(VLOOKUP(CV197,$AL$8:$AL$15,1,FALSE))=TRUE,IF(AND(ISERROR(FIND("NeighMkt",$CX$102))=FALSE,LEFT($CW$111,10)="ALL OUTLET",$CA197&lt;&gt;"",DJ197&lt;&gt;""),"",IF(AND($CV197&lt;&gt;$CW197,$CW197=CR$110),$DJ197,"")),"")</f>
      </c>
      <c s="76">
        <f>IF(ISERROR(VLOOKUP(CV197,$AL$8:$AL$15,1,FALSE))=TRUE,IF(CR197&lt;&gt;"",IF(CR197&gt;0,RANK(CR197,$CR$111:$CR$300),""),""),"")</f>
      </c>
      <c s="75">
        <f>IF(ISERROR(VLOOKUP(CV197,$AL$8:$AL$15,1,FALSE))=TRUE,IF(AND(ISERROR(FIND("NeighMkt",$CX$102))=FALSE,LEFT($CW$111,10)="ALL OUTLET",$CA197&lt;&gt;"",DJ197&lt;&gt;""),"",IF($Z$4="",IF(AND($CV197&lt;&gt;$CW197,$CW197=CT$110),$DJ197,""),IF(AND($CV197&lt;&gt;$CW197,$CW197&lt;&gt;CN$110,$CW197&lt;&gt;CP$110,$CW197&lt;&gt;CR$110,$CW197&lt;&gt;$CV$111),$DJ197,""))),"")</f>
      </c>
      <c s="76">
        <f>IF(ISERROR(VLOOKUP(CV197,$AL$8:$AL$15,1,FALSE))=TRUE,IF(CT197&lt;&gt;"",IF(CT197&gt;0,RANK(CT197,$CT$111:$CT$300),""),""),"")</f>
      </c>
      <c s="65" t="str">
        <f t="shared" si="19"/>
        <v>Vons</v>
      </c>
      <c s="65" t="str">
        <f t="shared" si="20"/>
        <v>GroceryX</v>
      </c>
      <c s="72" t="str">
        <f>IF('[1]Leakage Tree Data'!A96&lt;&gt;"",'[1]Leakage Tree Data'!A96,"")</f>
        <v>Total US - Vons</v>
      </c>
      <c s="72" t="str">
        <f>IF('[1]Leakage Tree Data'!B96&lt;&gt;"",'[1]Leakage Tree Data'!B96,"")</f>
        <v>Total US - GroceryX</v>
      </c>
      <c s="72">
        <f>IF('[1]Leakage Tree Data'!C96&lt;&gt;"",'[1]Leakage Tree Data'!C96,"")</f>
        <v>121171760.292236</v>
      </c>
      <c s="72">
        <f>IF('[1]Leakage Tree Data'!D96&lt;&gt;"",'[1]Leakage Tree Data'!D96,"")</f>
        <v>4292037.90789795</v>
      </c>
      <c s="72">
        <f>IF('[1]Leakage Tree Data'!E96&lt;&gt;"",'[1]Leakage Tree Data'!E96,"")</f>
        <v>3.54211071750267</v>
      </c>
      <c s="72">
        <f>IF('[1]Leakage Tree Data'!F96&lt;&gt;"",'[1]Leakage Tree Data'!F96,"")</f>
        <v>116879722.384338</v>
      </c>
      <c s="72">
        <f>IF('[1]Leakage Tree Data'!G96&lt;&gt;"",'[1]Leakage Tree Data'!G96,"")</f>
        <v>96.4578892824973</v>
      </c>
      <c s="72">
        <f>IF('[1]Leakage Tree Data'!H96&lt;&gt;"",'[1]Leakage Tree Data'!H96,"")</f>
        <v>61518209.9918823</v>
      </c>
      <c s="72" t="str">
        <f>IF('[1]Leakage Tree Data'!I96&lt;&gt;"",'[1]Leakage Tree Data'!I96,"")</f>
        <v>GroceryX</v>
      </c>
      <c s="72">
        <f>IF('[1]Leakage Tree Data'!J96&lt;&gt;"",'[1]Leakage Tree Data'!J96,"")</f>
        <v>98.9932663486971</v>
      </c>
      <c s="72">
        <f>IF('[1]Leakage Tree Data'!K96&lt;&gt;"",'[1]Leakage Tree Data'!K96,"")</f>
        <v>619324.52166748</v>
      </c>
      <c s="72">
        <f>IF('[1]Leakage Tree Data'!L96&lt;&gt;"",'[1]Leakage Tree Data'!L96,"")</f>
        <v>3427871.25872803</v>
      </c>
      <c s="72">
        <f>IF('[1]Leakage Tree Data'!M96&lt;&gt;"",'[1]Leakage Tree Data'!M96,"")</f>
        <v>4720912.22655487</v>
      </c>
      <c s="72">
        <f>IF('[1]Leakage Tree Data'!N96&lt;&gt;"",'[1]Leakage Tree Data'!N96,"")</f>
        <v>3427871.25872803</v>
      </c>
      <c s="72">
        <f>IF('[1]Leakage Tree Data'!O96&lt;&gt;"",'[1]Leakage Tree Data'!O96,"")</f>
        <v>21.2137412373858</v>
      </c>
      <c s="72">
        <f>IF('[1]Leakage Tree Data'!P96&lt;&gt;"",'[1]Leakage Tree Data'!P96,"")</f>
        <v>969051.71153091</v>
      </c>
      <c s="72">
        <f>IF('[1]Leakage Tree Data'!Q96&lt;&gt;"",'[1]Leakage Tree Data'!Q96,"")</f>
      </c>
      <c s="72">
        <f>IF('[1]Leakage Tree Data'!R96&lt;&gt;"",'[1]Leakage Tree Data'!R96,"")</f>
        <v>1017625.85098267</v>
      </c>
      <c s="72">
        <f>IF('[1]Leakage Tree Data'!S96&lt;&gt;"",'[1]Leakage Tree Data'!S96,"")</f>
        <v>-92329.8456420898</v>
      </c>
      <c s="72">
        <f>IF('[1]Leakage Tree Data'!T96&lt;&gt;"",'[1]Leakage Tree Data'!T96,"")</f>
        <v>-0.106842166164985</v>
      </c>
      <c s="72">
        <f>IF('[1]Leakage Tree Data'!U96&lt;&gt;"",'[1]Leakage Tree Data'!U96,"")</f>
        <v>1109955.69662476</v>
      </c>
      <c s="72">
        <f>IF('[1]Leakage Tree Data'!V96&lt;&gt;"",'[1]Leakage Tree Data'!V96,"")</f>
        <v>0.106842166164995</v>
      </c>
      <c s="72">
        <f>IF('[1]Leakage Tree Data'!W96&lt;&gt;"",'[1]Leakage Tree Data'!W96,"")</f>
        <v>-1855949.2237854</v>
      </c>
      <c s="72">
        <f>IF('[1]Leakage Tree Data'!X96&lt;&gt;"",'[1]Leakage Tree Data'!X96,"")</f>
      </c>
      <c s="72">
        <f>IF('[1]Leakage Tree Data'!Y96&lt;&gt;"",'[1]Leakage Tree Data'!Y96,"")</f>
        <v>0.322689296323688</v>
      </c>
      <c s="72">
        <f>IF('[1]Leakage Tree Data'!Z96&lt;&gt;"",'[1]Leakage Tree Data'!Z96,"")</f>
        <v>-223186.093811035</v>
      </c>
      <c s="72">
        <f>IF('[1]Leakage Tree Data'!AA96&lt;&gt;"",'[1]Leakage Tree Data'!AA96,"")</f>
        <v>-939894.248321533</v>
      </c>
      <c s="72">
        <f>IF('[1]Leakage Tree Data'!AB96&lt;&gt;"",'[1]Leakage Tree Data'!AB96,"")</f>
        <v>-2273443.15398407</v>
      </c>
      <c s="72">
        <f>IF('[1]Leakage Tree Data'!AC96&lt;&gt;"",'[1]Leakage Tree Data'!AC96,"")</f>
        <v>-939894.248321533</v>
      </c>
      <c s="72">
        <f>IF('[1]Leakage Tree Data'!AD96&lt;&gt;"",'[1]Leakage Tree Data'!AD96,"")</f>
        <v>-5.25305097326399</v>
      </c>
      <c s="72">
        <f>IF('[1]Leakage Tree Data'!AE96&lt;&gt;"",'[1]Leakage Tree Data'!AE96,"")</f>
      </c>
      <c s="73">
        <f t="shared" si="21"/>
      </c>
      <c s="73">
        <f t="shared" si="22"/>
      </c>
      <c s="73">
        <f t="shared" si="23"/>
      </c>
      <c s="73">
        <f t="shared" si="24"/>
      </c>
      <c s="74">
        <f t="shared" si="25"/>
      </c>
      <c s="74">
        <f t="shared" si="26"/>
      </c>
      <c s="69" t="str">
        <f t="shared" si="17"/>
        <v>Total US - Vons</v>
      </c>
      <c s="69" t="str">
        <f t="shared" si="18"/>
        <v>Total US - GroceryX</v>
      </c>
      <c s="77"/>
    </row>
    <row r="198" spans="1:141" ht="15">
      <c r="A19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198,$AL$8:$AL$15,1,FALSE))=TRUE,IF(AND(CV198=CW198,CV198&lt;&gt;"",DI$111&lt;&gt;"",DK198&lt;&gt;""),IF(CW$101="Y",DK198-IF(ISERROR(VLOOKUP(CV198,$CA$113:$DK$300,37,FALSE))=TRUE,0,IF(VLOOKUP(CV198,$CA$113:$DK$300,37,FALSE)="",0,VLOOKUP(CV198,$CA$113:$DK$300,37,FALSE))),DK198-IF(AND(CW$102="Y",CV198=$CW$111),DI$111,0)),""),"")</f>
      </c>
      <c s="76">
        <f>IF(ISERROR(VLOOKUP(CV198,$AL$8:$AL$15,1,FALSE))=TRUE,IF(CB198&lt;&gt;"",IF(CB198&gt;0,IF(Z$4&lt;&gt;"",MIN(4,RANK(CB198,$CB$111:$CB$300)),RANK(CB198,$CB$111:$CB$300)),""),""),"")</f>
      </c>
      <c s="75">
        <f>IF(ISERROR(VLOOKUP(CV198,$AL$8:$AL$15,1,FALSE))=TRUE,IF(AND(ISERROR(FIND("NeighMkt",$CX$102))=FALSE,LEFT($CW$111,10)="ALL OUTLET",$CA198&lt;&gt;"",DK198&lt;&gt;""),"",IF(AND($CV198&lt;&gt;$CW198,$CW198=CD$110),$DK198,"")),"")</f>
        <v>1918185.25552368</v>
      </c>
      <c s="76">
        <f>IF(ISERROR(VLOOKUP(CV198,$AL$8:$AL$15,1,FALSE))=TRUE,IF(CD198&lt;&gt;"",IF(CD198&gt;0,RANK(CD198,$CD$111:$CD$300),""),""),"")</f>
        <v>25</v>
      </c>
      <c s="75">
        <f>IF(ISERROR(VLOOKUP(CV198,$AL$8:$AL$15,1,FALSE))=TRUE,IF(AND(ISERROR(FIND("NeighMkt",$CX$102))=FALSE,LEFT($CW$111,10)="ALL OUTLET",$CA198&lt;&gt;"",DK198&lt;&gt;""),"",IF(AND($CV198&lt;&gt;$CW198,$CW198=CF$110),$DK198,"")),"")</f>
      </c>
      <c s="76">
        <f>IF(ISERROR(VLOOKUP(CV198,$AL$8:$AL$15,1,FALSE))=TRUE,IF(CF198&lt;&gt;"",IF(CF198&gt;0,RANK(CF198,$CF$111:$CF$300),""),""),"")</f>
      </c>
      <c s="75">
        <f>IF(ISERROR(VLOOKUP(CV198,$AL$8:$AL$15,1,FALSE))=TRUE,IF(AND(ISERROR(FIND("NeighMkt",$CX$102))=FALSE,LEFT($CW$111,10)="ALL OUTLET",$CA198&lt;&gt;"",DK198&lt;&gt;""),"",IF(AND($CV198&lt;&gt;$CW198,$CW198=CH$110),$DK198,"")),"")</f>
      </c>
      <c s="76">
        <f>IF(ISERROR(VLOOKUP(CV198,$AL$8:$AL$15,1,FALSE))=TRUE,IF(CH198&lt;&gt;"",IF(CH198&gt;0,RANK(CH198,$CH$111:$CH$300),""),""),"")</f>
      </c>
      <c s="75">
        <f>IF(ISERROR(VLOOKUP(CV198,$AL$8:$AL$15,1,FALSE))=TRUE,IF(AND(ISERROR(FIND("NeighMkt",$CX$102))=FALSE,LEFT($CW$111,10)="ALL OUTLET",$CA198&lt;&gt;"",DK198&lt;&gt;""),"",IF($Z$4="",IF(AND($CV198&lt;&gt;$CW198,$CW198=CJ$110),$DK198,""),IF(AND($CV198&lt;&gt;$CW198,$CW198&lt;&gt;CD$110,$CW198&lt;&gt;CF$110,$CW198&lt;&gt;CH$110,$CW198&lt;&gt;$CV$111),$DK198,""))),"")</f>
      </c>
      <c s="76">
        <f>IF(ISERROR(VLOOKUP(CV198,$AL$8:$AL$15,1,FALSE))=TRUE,IF(CJ198&lt;&gt;"",IF(CJ198&gt;0,RANK(CJ198,$CJ$111:$CJ$300),""),""),"")</f>
      </c>
      <c s="75">
        <f>IF(ISERROR(VLOOKUP(CV198,$AL$8:$AL$15,1,FALSE))=TRUE,IF(AND(CV198=CW198,CV198&lt;&gt;"",DJ198&lt;&gt;""),IF(AND(ISERROR(FIND("NeighMkt",$CX$102))=FALSE,LEFT($CW$111,10)="ALL OUTLET"),DJ198-IF(ISERROR(VLOOKUP(CV198,$CA$113:$DK$300,36,FALSE))=TRUE,0,IF(VLOOKUP(CV198,$CA$113:$DK$300,36,FALSE)="",0,VLOOKUP(CV198,$CA$113:$DK$300,36,FALSE))),DJ198),""),"")</f>
      </c>
      <c s="76">
        <f>IF(ISERROR(VLOOKUP(CV198,$AL$8:$AL$15,1,FALSE))=TRUE,IF(CL198&lt;&gt;"",IF(CL198&gt;0,IF($Z$4&lt;&gt;"",MIN(4,RANK(CL198,$CL$111:$CL$300)),RANK(CL198,$CL$111:$CL$300)),""),""),"")</f>
      </c>
      <c s="75">
        <f>IF(ISERROR(VLOOKUP(CV198,$AL$8:$AL$15,1,FALSE))=TRUE,IF(AND(ISERROR(FIND("NeighMkt",$CX$102))=FALSE,LEFT($CW$111,10)="ALL OUTLET",$CA198&lt;&gt;"",DJ198&lt;&gt;""),"",IF(AND($CV198&lt;&gt;$CW198,$CW198=CN$110),$DJ198,"")),"")</f>
        <v>7545620.76542282</v>
      </c>
      <c s="76">
        <f>IF(ISERROR(VLOOKUP(CV198,$AL$8:$AL$15,1,FALSE))=TRUE,IF(CN198&lt;&gt;"",IF(CN198&gt;0,RANK(CN198,$CN$111:$CN$300),""),""),"")</f>
        <v>20</v>
      </c>
      <c s="75">
        <f>IF(ISERROR(VLOOKUP(CV198,$AL$8:$AL$15,1,FALSE))=TRUE,IF(AND(ISERROR(FIND("NeighMkt",$CX$102))=FALSE,LEFT($CW$111,10)="ALL OUTLET",$CA198&lt;&gt;"",DJ198&lt;&gt;""),"",IF(AND($CV198&lt;&gt;$CW198,$CW198=CP$110),$DJ198,"")),"")</f>
      </c>
      <c s="76">
        <f>IF(ISERROR(VLOOKUP(CV198,$AL$8:$AL$15,1,FALSE))=TRUE,IF(CP198&lt;&gt;"",IF(CP198&gt;0,RANK(CP198,$CP$111:$CP$300),""),""),"")</f>
      </c>
      <c s="75">
        <f>IF(ISERROR(VLOOKUP(CV198,$AL$8:$AL$15,1,FALSE))=TRUE,IF(AND(ISERROR(FIND("NeighMkt",$CX$102))=FALSE,LEFT($CW$111,10)="ALL OUTLET",$CA198&lt;&gt;"",DJ198&lt;&gt;""),"",IF(AND($CV198&lt;&gt;$CW198,$CW198=CR$110),$DJ198,"")),"")</f>
      </c>
      <c s="76">
        <f>IF(ISERROR(VLOOKUP(CV198,$AL$8:$AL$15,1,FALSE))=TRUE,IF(CR198&lt;&gt;"",IF(CR198&gt;0,RANK(CR198,$CR$111:$CR$300),""),""),"")</f>
      </c>
      <c s="75">
        <f>IF(ISERROR(VLOOKUP(CV198,$AL$8:$AL$15,1,FALSE))=TRUE,IF(AND(ISERROR(FIND("NeighMkt",$CX$102))=FALSE,LEFT($CW$111,10)="ALL OUTLET",$CA198&lt;&gt;"",DJ198&lt;&gt;""),"",IF($Z$4="",IF(AND($CV198&lt;&gt;$CW198,$CW198=CT$110),$DJ198,""),IF(AND($CV198&lt;&gt;$CW198,$CW198&lt;&gt;CN$110,$CW198&lt;&gt;CP$110,$CW198&lt;&gt;CR$110,$CW198&lt;&gt;$CV$111),$DJ198,""))),"")</f>
      </c>
      <c s="76">
        <f>IF(ISERROR(VLOOKUP(CV198,$AL$8:$AL$15,1,FALSE))=TRUE,IF(CT198&lt;&gt;"",IF(CT198&gt;0,RANK(CT198,$CT$111:$CT$300),""),""),"")</f>
      </c>
      <c s="65" t="str">
        <f t="shared" si="19"/>
        <v>Wegmans</v>
      </c>
      <c s="65" t="str">
        <f t="shared" si="20"/>
        <v>GroceryX</v>
      </c>
      <c s="72" t="str">
        <f>IF('[1]Leakage Tree Data'!A97&lt;&gt;"",'[1]Leakage Tree Data'!A97,"")</f>
        <v>Total US - Wegmans</v>
      </c>
      <c s="72" t="str">
        <f>IF('[1]Leakage Tree Data'!B97&lt;&gt;"",'[1]Leakage Tree Data'!B97,"")</f>
        <v>Total US - GroceryX</v>
      </c>
      <c s="72">
        <f>IF('[1]Leakage Tree Data'!C97&lt;&gt;"",'[1]Leakage Tree Data'!C97,"")</f>
        <v>121171760.292236</v>
      </c>
      <c s="72">
        <f>IF('[1]Leakage Tree Data'!D97&lt;&gt;"",'[1]Leakage Tree Data'!D97,"")</f>
        <v>3741689.43341064</v>
      </c>
      <c s="72">
        <f>IF('[1]Leakage Tree Data'!E97&lt;&gt;"",'[1]Leakage Tree Data'!E97,"")</f>
        <v>3.08792199138365</v>
      </c>
      <c s="72">
        <f>IF('[1]Leakage Tree Data'!F97&lt;&gt;"",'[1]Leakage Tree Data'!F97,"")</f>
        <v>117430070.858826</v>
      </c>
      <c s="72">
        <f>IF('[1]Leakage Tree Data'!G97&lt;&gt;"",'[1]Leakage Tree Data'!G97,"")</f>
        <v>96.9120780086163</v>
      </c>
      <c s="72">
        <f>IF('[1]Leakage Tree Data'!H97&lt;&gt;"",'[1]Leakage Tree Data'!H97,"")</f>
        <v>61518209.9918823</v>
      </c>
      <c s="72" t="str">
        <f>IF('[1]Leakage Tree Data'!I97&lt;&gt;"",'[1]Leakage Tree Data'!I97,"")</f>
        <v>GroceryX</v>
      </c>
      <c s="72">
        <f>IF('[1]Leakage Tree Data'!J97&lt;&gt;"",'[1]Leakage Tree Data'!J97,"")</f>
        <v>98.9949488180416</v>
      </c>
      <c s="72">
        <f>IF('[1]Leakage Tree Data'!K97&lt;&gt;"",'[1]Leakage Tree Data'!K97,"")</f>
        <v>618289.496643066</v>
      </c>
      <c s="72">
        <f>IF('[1]Leakage Tree Data'!L97&lt;&gt;"",'[1]Leakage Tree Data'!L97,"")</f>
        <v>1918185.25552368</v>
      </c>
      <c s="72">
        <f>IF('[1]Leakage Tree Data'!M97&lt;&gt;"",'[1]Leakage Tree Data'!M97,"")</f>
        <v>7545620.76542282</v>
      </c>
      <c s="72">
        <f>IF('[1]Leakage Tree Data'!N97&lt;&gt;"",'[1]Leakage Tree Data'!N97,"")</f>
        <v>1918185.25552368</v>
      </c>
      <c s="72">
        <f>IF('[1]Leakage Tree Data'!O97&lt;&gt;"",'[1]Leakage Tree Data'!O97,"")</f>
        <v>25.6380057690047</v>
      </c>
      <c s="72">
        <f>IF('[1]Leakage Tree Data'!P97&lt;&gt;"",'[1]Leakage Tree Data'!P97,"")</f>
        <v>762117.03532657</v>
      </c>
      <c s="72">
        <f>IF('[1]Leakage Tree Data'!Q97&lt;&gt;"",'[1]Leakage Tree Data'!Q97,"")</f>
      </c>
      <c s="72">
        <f>IF('[1]Leakage Tree Data'!R97&lt;&gt;"",'[1]Leakage Tree Data'!R97,"")</f>
        <v>1017625.85098267</v>
      </c>
      <c s="72">
        <f>IF('[1]Leakage Tree Data'!S97&lt;&gt;"",'[1]Leakage Tree Data'!S97,"")</f>
        <v>124468.864807129</v>
      </c>
      <c s="72">
        <f>IF('[1]Leakage Tree Data'!T97&lt;&gt;"",'[1]Leakage Tree Data'!T97,"")</f>
        <v>0.0774383443377245</v>
      </c>
      <c s="72">
        <f>IF('[1]Leakage Tree Data'!U97&lt;&gt;"",'[1]Leakage Tree Data'!U97,"")</f>
        <v>893156.986175537</v>
      </c>
      <c s="72">
        <f>IF('[1]Leakage Tree Data'!V97&lt;&gt;"",'[1]Leakage Tree Data'!V97,"")</f>
        <v>-0.0774383443377218</v>
      </c>
      <c s="72">
        <f>IF('[1]Leakage Tree Data'!W97&lt;&gt;"",'[1]Leakage Tree Data'!W97,"")</f>
        <v>-1855949.2237854</v>
      </c>
      <c s="72">
        <f>IF('[1]Leakage Tree Data'!X97&lt;&gt;"",'[1]Leakage Tree Data'!X97,"")</f>
      </c>
      <c s="72">
        <f>IF('[1]Leakage Tree Data'!Y97&lt;&gt;"",'[1]Leakage Tree Data'!Y97,"")</f>
        <v>0.0712739569375032</v>
      </c>
      <c s="72">
        <f>IF('[1]Leakage Tree Data'!Z97&lt;&gt;"",'[1]Leakage Tree Data'!Z97,"")</f>
        <v>-63822.510559082</v>
      </c>
      <c s="72">
        <f>IF('[1]Leakage Tree Data'!AA97&lt;&gt;"",'[1]Leakage Tree Data'!AA97,"")</f>
        <v>-362837.055245399</v>
      </c>
      <c s="72">
        <f>IF('[1]Leakage Tree Data'!AB97&lt;&gt;"",'[1]Leakage Tree Data'!AB97,"")</f>
        <v>-460473.649785995</v>
      </c>
      <c s="72">
        <f>IF('[1]Leakage Tree Data'!AC97&lt;&gt;"",'[1]Leakage Tree Data'!AC97,"")</f>
        <v>-362837.055245399</v>
      </c>
      <c s="72">
        <f>IF('[1]Leakage Tree Data'!AD97&lt;&gt;"",'[1]Leakage Tree Data'!AD97,"")</f>
        <v>-2.82650497612035</v>
      </c>
      <c s="72">
        <f>IF('[1]Leakage Tree Data'!AE97&lt;&gt;"",'[1]Leakage Tree Data'!AE97,"")</f>
      </c>
      <c s="73">
        <f t="shared" si="21"/>
      </c>
      <c s="73">
        <f t="shared" si="22"/>
      </c>
      <c s="73">
        <f t="shared" si="23"/>
      </c>
      <c s="73">
        <f t="shared" si="24"/>
      </c>
      <c s="74">
        <f t="shared" si="25"/>
      </c>
      <c s="74">
        <f t="shared" si="26"/>
      </c>
      <c s="69" t="str">
        <f t="shared" si="17"/>
        <v>Total US - Wegmans</v>
      </c>
      <c s="69" t="str">
        <f t="shared" si="18"/>
        <v>Total US - GroceryX</v>
      </c>
      <c s="77"/>
    </row>
    <row r="199" spans="1:141" ht="15">
      <c r="A19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199,$AL$8:$AL$15,1,FALSE))=TRUE,IF(AND(CV199=CW199,CV199&lt;&gt;"",DI$111&lt;&gt;"",DK199&lt;&gt;""),IF(CW$101="Y",DK199-IF(ISERROR(VLOOKUP(CV199,$CA$113:$DK$300,37,FALSE))=TRUE,0,IF(VLOOKUP(CV199,$CA$113:$DK$300,37,FALSE)="",0,VLOOKUP(CV199,$CA$113:$DK$300,37,FALSE))),DK199-IF(AND(CW$102="Y",CV199=$CW$111),DI$111,0)),""),"")</f>
      </c>
      <c s="76">
        <f>IF(ISERROR(VLOOKUP(CV199,$AL$8:$AL$15,1,FALSE))=TRUE,IF(CB199&lt;&gt;"",IF(CB199&gt;0,IF(Z$4&lt;&gt;"",MIN(4,RANK(CB199,$CB$111:$CB$300)),RANK(CB199,$CB$111:$CB$300)),""),""),"")</f>
      </c>
      <c s="75">
        <f>IF(ISERROR(VLOOKUP(CV199,$AL$8:$AL$15,1,FALSE))=TRUE,IF(AND(ISERROR(FIND("NeighMkt",$CX$102))=FALSE,LEFT($CW$111,10)="ALL OUTLET",$CA199&lt;&gt;"",DK199&lt;&gt;""),"",IF(AND($CV199&lt;&gt;$CW199,$CW199=CD$110),$DK199,"")),"")</f>
      </c>
      <c s="76">
        <f>IF(ISERROR(VLOOKUP(CV199,$AL$8:$AL$15,1,FALSE))=TRUE,IF(CD199&lt;&gt;"",IF(CD199&gt;0,RANK(CD199,$CD$111:$CD$300),""),""),"")</f>
      </c>
      <c s="75">
        <f>IF(ISERROR(VLOOKUP(CV199,$AL$8:$AL$15,1,FALSE))=TRUE,IF(AND(ISERROR(FIND("NeighMkt",$CX$102))=FALSE,LEFT($CW$111,10)="ALL OUTLET",$CA199&lt;&gt;"",DK199&lt;&gt;""),"",IF(AND($CV199&lt;&gt;$CW199,$CW199=CF$110),$DK199,"")),"")</f>
      </c>
      <c s="76">
        <f>IF(ISERROR(VLOOKUP(CV199,$AL$8:$AL$15,1,FALSE))=TRUE,IF(CF199&lt;&gt;"",IF(CF199&gt;0,RANK(CF199,$CF$111:$CF$300),""),""),"")</f>
      </c>
      <c s="75">
        <f>IF(ISERROR(VLOOKUP(CV199,$AL$8:$AL$15,1,FALSE))=TRUE,IF(AND(ISERROR(FIND("NeighMkt",$CX$102))=FALSE,LEFT($CW$111,10)="ALL OUTLET",$CA199&lt;&gt;"",DK199&lt;&gt;""),"",IF(AND($CV199&lt;&gt;$CW199,$CW199=CH$110),$DK199,"")),"")</f>
      </c>
      <c s="76">
        <f>IF(ISERROR(VLOOKUP(CV199,$AL$8:$AL$15,1,FALSE))=TRUE,IF(CH199&lt;&gt;"",IF(CH199&gt;0,RANK(CH199,$CH$111:$CH$300),""),""),"")</f>
      </c>
      <c s="75">
        <f>IF(ISERROR(VLOOKUP(CV199,$AL$8:$AL$15,1,FALSE))=TRUE,IF(AND(ISERROR(FIND("NeighMkt",$CX$102))=FALSE,LEFT($CW$111,10)="ALL OUTLET",$CA199&lt;&gt;"",DK199&lt;&gt;""),"",IF($Z$4="",IF(AND($CV199&lt;&gt;$CW199,$CW199=CJ$110),$DK199,""),IF(AND($CV199&lt;&gt;$CW199,$CW199&lt;&gt;CD$110,$CW199&lt;&gt;CF$110,$CW199&lt;&gt;CH$110,$CW199&lt;&gt;$CV$111),$DK199,""))),"")</f>
      </c>
      <c s="76">
        <f>IF(ISERROR(VLOOKUP(CV199,$AL$8:$AL$15,1,FALSE))=TRUE,IF(CJ199&lt;&gt;"",IF(CJ199&gt;0,RANK(CJ199,$CJ$111:$CJ$300),""),""),"")</f>
      </c>
      <c s="75">
        <f>IF(ISERROR(VLOOKUP(CV199,$AL$8:$AL$15,1,FALSE))=TRUE,IF(AND(CV199=CW199,CV199&lt;&gt;"",DJ199&lt;&gt;""),IF(AND(ISERROR(FIND("NeighMkt",$CX$102))=FALSE,LEFT($CW$111,10)="ALL OUTLET"),DJ199-IF(ISERROR(VLOOKUP(CV199,$CA$113:$DK$300,36,FALSE))=TRUE,0,IF(VLOOKUP(CV199,$CA$113:$DK$300,36,FALSE)="",0,VLOOKUP(CV199,$CA$113:$DK$300,36,FALSE))),DJ199),""),"")</f>
      </c>
      <c s="76">
        <f>IF(ISERROR(VLOOKUP(CV199,$AL$8:$AL$15,1,FALSE))=TRUE,IF(CL199&lt;&gt;"",IF(CL199&gt;0,IF($Z$4&lt;&gt;"",MIN(4,RANK(CL199,$CL$111:$CL$300)),RANK(CL199,$CL$111:$CL$300)),""),""),"")</f>
      </c>
      <c s="75">
        <f>IF(ISERROR(VLOOKUP(CV199,$AL$8:$AL$15,1,FALSE))=TRUE,IF(AND(ISERROR(FIND("NeighMkt",$CX$102))=FALSE,LEFT($CW$111,10)="ALL OUTLET",$CA199&lt;&gt;"",DJ199&lt;&gt;""),"",IF(AND($CV199&lt;&gt;$CW199,$CW199=CN$110),$DJ199,"")),"")</f>
        <v>5457862.89881897</v>
      </c>
      <c s="76">
        <f>IF(ISERROR(VLOOKUP(CV199,$AL$8:$AL$15,1,FALSE))=TRUE,IF(CN199&lt;&gt;"",IF(CN199&gt;0,RANK(CN199,$CN$111:$CN$300),""),""),"")</f>
        <v>28</v>
      </c>
      <c s="75">
        <f>IF(ISERROR(VLOOKUP(CV199,$AL$8:$AL$15,1,FALSE))=TRUE,IF(AND(ISERROR(FIND("NeighMkt",$CX$102))=FALSE,LEFT($CW$111,10)="ALL OUTLET",$CA199&lt;&gt;"",DJ199&lt;&gt;""),"",IF(AND($CV199&lt;&gt;$CW199,$CW199=CP$110),$DJ199,"")),"")</f>
      </c>
      <c s="76">
        <f>IF(ISERROR(VLOOKUP(CV199,$AL$8:$AL$15,1,FALSE))=TRUE,IF(CP199&lt;&gt;"",IF(CP199&gt;0,RANK(CP199,$CP$111:$CP$300),""),""),"")</f>
      </c>
      <c s="75">
        <f>IF(ISERROR(VLOOKUP(CV199,$AL$8:$AL$15,1,FALSE))=TRUE,IF(AND(ISERROR(FIND("NeighMkt",$CX$102))=FALSE,LEFT($CW$111,10)="ALL OUTLET",$CA199&lt;&gt;"",DJ199&lt;&gt;""),"",IF(AND($CV199&lt;&gt;$CW199,$CW199=CR$110),$DJ199,"")),"")</f>
      </c>
      <c s="76">
        <f>IF(ISERROR(VLOOKUP(CV199,$AL$8:$AL$15,1,FALSE))=TRUE,IF(CR199&lt;&gt;"",IF(CR199&gt;0,RANK(CR199,$CR$111:$CR$300),""),""),"")</f>
      </c>
      <c s="75">
        <f>IF(ISERROR(VLOOKUP(CV199,$AL$8:$AL$15,1,FALSE))=TRUE,IF(AND(ISERROR(FIND("NeighMkt",$CX$102))=FALSE,LEFT($CW$111,10)="ALL OUTLET",$CA199&lt;&gt;"",DJ199&lt;&gt;""),"",IF($Z$4="",IF(AND($CV199&lt;&gt;$CW199,$CW199=CT$110),$DJ199,""),IF(AND($CV199&lt;&gt;$CW199,$CW199&lt;&gt;CN$110,$CW199&lt;&gt;CP$110,$CW199&lt;&gt;CR$110,$CW199&lt;&gt;$CV$111),$DJ199,""))),"")</f>
      </c>
      <c s="76">
        <f>IF(ISERROR(VLOOKUP(CV199,$AL$8:$AL$15,1,FALSE))=TRUE,IF(CT199&lt;&gt;"",IF(CT199&gt;0,RANK(CT199,$CT$111:$CT$300),""),""),"")</f>
      </c>
      <c s="65" t="str">
        <f t="shared" si="19"/>
        <v>Weis Markets</v>
      </c>
      <c s="65" t="str">
        <f t="shared" si="20"/>
        <v>GroceryX</v>
      </c>
      <c s="72" t="str">
        <f>IF('[1]Leakage Tree Data'!A98&lt;&gt;"",'[1]Leakage Tree Data'!A98,"")</f>
        <v>Total US - Weis Markets</v>
      </c>
      <c s="72" t="str">
        <f>IF('[1]Leakage Tree Data'!B98&lt;&gt;"",'[1]Leakage Tree Data'!B98,"")</f>
        <v>Total US - GroceryX</v>
      </c>
      <c s="72">
        <f>IF('[1]Leakage Tree Data'!C98&lt;&gt;"",'[1]Leakage Tree Data'!C98,"")</f>
        <v>121171760.292236</v>
      </c>
      <c s="72">
        <f>IF('[1]Leakage Tree Data'!D98&lt;&gt;"",'[1]Leakage Tree Data'!D98,"")</f>
        <v>2261254.16235352</v>
      </c>
      <c s="72">
        <f>IF('[1]Leakage Tree Data'!E98&lt;&gt;"",'[1]Leakage Tree Data'!E98,"")</f>
        <v>1.86615607209133</v>
      </c>
      <c s="72">
        <f>IF('[1]Leakage Tree Data'!F98&lt;&gt;"",'[1]Leakage Tree Data'!F98,"")</f>
        <v>118910506.129883</v>
      </c>
      <c s="72">
        <f>IF('[1]Leakage Tree Data'!G98&lt;&gt;"",'[1]Leakage Tree Data'!G98,"")</f>
        <v>98.1338439279087</v>
      </c>
      <c s="72">
        <f>IF('[1]Leakage Tree Data'!H98&lt;&gt;"",'[1]Leakage Tree Data'!H98,"")</f>
        <v>61518209.9918823</v>
      </c>
      <c s="72" t="str">
        <f>IF('[1]Leakage Tree Data'!I98&lt;&gt;"",'[1]Leakage Tree Data'!I98,"")</f>
        <v>GroceryX</v>
      </c>
      <c s="72">
        <f>IF('[1]Leakage Tree Data'!J98&lt;&gt;"",'[1]Leakage Tree Data'!J98,"")</f>
        <v>99.3807951685104</v>
      </c>
      <c s="72">
        <f>IF('[1]Leakage Tree Data'!K98&lt;&gt;"",'[1]Leakage Tree Data'!K98,"")</f>
        <v>380923.728515625</v>
      </c>
      <c s="72">
        <f>IF('[1]Leakage Tree Data'!L98&lt;&gt;"",'[1]Leakage Tree Data'!L98,"")</f>
      </c>
      <c s="72">
        <f>IF('[1]Leakage Tree Data'!M98&lt;&gt;"",'[1]Leakage Tree Data'!M98,"")</f>
        <v>5457862.89881897</v>
      </c>
      <c s="72">
        <f>IF('[1]Leakage Tree Data'!N98&lt;&gt;"",'[1]Leakage Tree Data'!N98,"")</f>
      </c>
      <c s="72">
        <f>IF('[1]Leakage Tree Data'!O98&lt;&gt;"",'[1]Leakage Tree Data'!O98,"")</f>
        <v>32.9075194114765</v>
      </c>
      <c s="72">
        <f>IF('[1]Leakage Tree Data'!P98&lt;&gt;"",'[1]Leakage Tree Data'!P98,"")</f>
        <v>515310.72797648</v>
      </c>
      <c s="72">
        <f>IF('[1]Leakage Tree Data'!Q98&lt;&gt;"",'[1]Leakage Tree Data'!Q98,"")</f>
      </c>
      <c s="72">
        <f>IF('[1]Leakage Tree Data'!R98&lt;&gt;"",'[1]Leakage Tree Data'!R98,"")</f>
        <v>1017625.85098267</v>
      </c>
      <c s="72">
        <f>IF('[1]Leakage Tree Data'!S98&lt;&gt;"",'[1]Leakage Tree Data'!S98,"")</f>
        <v>-19145.8709716797</v>
      </c>
      <c s="72">
        <f>IF('[1]Leakage Tree Data'!T98&lt;&gt;"",'[1]Leakage Tree Data'!T98,"")</f>
        <v>-0.0317395300280818</v>
      </c>
      <c s="72">
        <f>IF('[1]Leakage Tree Data'!U98&lt;&gt;"",'[1]Leakage Tree Data'!U98,"")</f>
        <v>1036771.72195435</v>
      </c>
      <c s="72">
        <f>IF('[1]Leakage Tree Data'!V98&lt;&gt;"",'[1]Leakage Tree Data'!V98,"")</f>
        <v>0.0317395300280765</v>
      </c>
      <c s="72">
        <f>IF('[1]Leakage Tree Data'!W98&lt;&gt;"",'[1]Leakage Tree Data'!W98,"")</f>
        <v>-1855949.2237854</v>
      </c>
      <c s="72">
        <f>IF('[1]Leakage Tree Data'!X98&lt;&gt;"",'[1]Leakage Tree Data'!X98,"")</f>
      </c>
      <c s="72">
        <f>IF('[1]Leakage Tree Data'!Y98&lt;&gt;"",'[1]Leakage Tree Data'!Y98,"")</f>
        <v>0.0080700107276499</v>
      </c>
      <c s="72">
        <f>IF('[1]Leakage Tree Data'!Z98&lt;&gt;"",'[1]Leakage Tree Data'!Z98,"")</f>
        <v>-16606.4287109375</v>
      </c>
      <c s="72">
        <f>IF('[1]Leakage Tree Data'!AA98&lt;&gt;"",'[1]Leakage Tree Data'!AA98,"")</f>
      </c>
      <c s="72">
        <f>IF('[1]Leakage Tree Data'!AB98&lt;&gt;"",'[1]Leakage Tree Data'!AB98,"")</f>
        <v>536322.083450317</v>
      </c>
      <c s="72">
        <f>IF('[1]Leakage Tree Data'!AC98&lt;&gt;"",'[1]Leakage Tree Data'!AC98,"")</f>
      </c>
      <c s="72">
        <f>IF('[1]Leakage Tree Data'!AD98&lt;&gt;"",'[1]Leakage Tree Data'!AD98,"")</f>
        <v>-0.804055244831723</v>
      </c>
      <c s="72">
        <f>IF('[1]Leakage Tree Data'!AE98&lt;&gt;"",'[1]Leakage Tree Data'!AE98,"")</f>
      </c>
      <c s="73">
        <f t="shared" si="21"/>
      </c>
      <c s="73">
        <f t="shared" si="22"/>
      </c>
      <c s="73">
        <f t="shared" si="23"/>
      </c>
      <c s="73">
        <f t="shared" si="24"/>
      </c>
      <c s="74">
        <f t="shared" si="25"/>
      </c>
      <c s="74">
        <f t="shared" si="26"/>
      </c>
      <c s="69" t="str">
        <f t="shared" si="17"/>
        <v>Total US - Weis Markets</v>
      </c>
      <c s="69" t="str">
        <f t="shared" si="18"/>
        <v>Total US - GroceryX</v>
      </c>
      <c s="77"/>
    </row>
    <row r="200" spans="1:141" ht="15">
      <c r="A20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200,$AL$8:$AL$15,1,FALSE))=TRUE,IF(AND(CV200=CW200,CV200&lt;&gt;"",DI$111&lt;&gt;"",DK200&lt;&gt;""),IF(CW$101="Y",DK200-IF(ISERROR(VLOOKUP(CV200,$CA$113:$DK$300,37,FALSE))=TRUE,0,IF(VLOOKUP(CV200,$CA$113:$DK$300,37,FALSE)="",0,VLOOKUP(CV200,$CA$113:$DK$300,37,FALSE))),DK200-IF(AND(CW$102="Y",CV200=$CW$111),DI$111,0)),""),"")</f>
      </c>
      <c s="76">
        <f>IF(ISERROR(VLOOKUP(CV200,$AL$8:$AL$15,1,FALSE))=TRUE,IF(CB200&lt;&gt;"",IF(CB200&gt;0,IF(Z$4&lt;&gt;"",MIN(4,RANK(CB200,$CB$111:$CB$300)),RANK(CB200,$CB$111:$CB$300)),""),""),"")</f>
      </c>
      <c s="75">
        <f>IF(ISERROR(VLOOKUP(CV200,$AL$8:$AL$15,1,FALSE))=TRUE,IF(AND(ISERROR(FIND("NeighMkt",$CX$102))=FALSE,LEFT($CW$111,10)="ALL OUTLET",$CA200&lt;&gt;"",DK200&lt;&gt;""),"",IF(AND($CV200&lt;&gt;$CW200,$CW200=CD$110),$DK200,"")),"")</f>
      </c>
      <c s="76">
        <f>IF(ISERROR(VLOOKUP(CV200,$AL$8:$AL$15,1,FALSE))=TRUE,IF(CD200&lt;&gt;"",IF(CD200&gt;0,RANK(CD200,$CD$111:$CD$300),""),""),"")</f>
      </c>
      <c s="75">
        <f>IF(ISERROR(VLOOKUP(CV200,$AL$8:$AL$15,1,FALSE))=TRUE,IF(AND(ISERROR(FIND("NeighMkt",$CX$102))=FALSE,LEFT($CW$111,10)="ALL OUTLET",$CA200&lt;&gt;"",DK200&lt;&gt;""),"",IF(AND($CV200&lt;&gt;$CW200,$CW200=CF$110),$DK200,"")),"")</f>
      </c>
      <c s="76">
        <f>IF(ISERROR(VLOOKUP(CV200,$AL$8:$AL$15,1,FALSE))=TRUE,IF(CF200&lt;&gt;"",IF(CF200&gt;0,RANK(CF200,$CF$111:$CF$300),""),""),"")</f>
      </c>
      <c s="75">
        <f>IF(ISERROR(VLOOKUP(CV200,$AL$8:$AL$15,1,FALSE))=TRUE,IF(AND(ISERROR(FIND("NeighMkt",$CX$102))=FALSE,LEFT($CW$111,10)="ALL OUTLET",$CA200&lt;&gt;"",DK200&lt;&gt;""),"",IF(AND($CV200&lt;&gt;$CW200,$CW200=CH$110),$DK200,"")),"")</f>
      </c>
      <c s="76">
        <f>IF(ISERROR(VLOOKUP(CV200,$AL$8:$AL$15,1,FALSE))=TRUE,IF(CH200&lt;&gt;"",IF(CH200&gt;0,RANK(CH200,$CH$111:$CH$300),""),""),"")</f>
      </c>
      <c s="75">
        <f>IF(ISERROR(VLOOKUP(CV200,$AL$8:$AL$15,1,FALSE))=TRUE,IF(AND(ISERROR(FIND("NeighMkt",$CX$102))=FALSE,LEFT($CW$111,10)="ALL OUTLET",$CA200&lt;&gt;"",DK200&lt;&gt;""),"",IF($Z$4="",IF(AND($CV200&lt;&gt;$CW200,$CW200=CJ$110),$DK200,""),IF(AND($CV200&lt;&gt;$CW200,$CW200&lt;&gt;CD$110,$CW200&lt;&gt;CF$110,$CW200&lt;&gt;CH$110,$CW200&lt;&gt;$CV$111),$DK200,""))),"")</f>
      </c>
      <c s="76">
        <f>IF(ISERROR(VLOOKUP(CV200,$AL$8:$AL$15,1,FALSE))=TRUE,IF(CJ200&lt;&gt;"",IF(CJ200&gt;0,RANK(CJ200,$CJ$111:$CJ$300),""),""),"")</f>
      </c>
      <c s="75">
        <f>IF(ISERROR(VLOOKUP(CV200,$AL$8:$AL$15,1,FALSE))=TRUE,IF(AND(CV200=CW200,CV200&lt;&gt;"",DJ200&lt;&gt;""),IF(AND(ISERROR(FIND("NeighMkt",$CX$102))=FALSE,LEFT($CW$111,10)="ALL OUTLET"),DJ200-IF(ISERROR(VLOOKUP(CV200,$CA$113:$DK$300,36,FALSE))=TRUE,0,IF(VLOOKUP(CV200,$CA$113:$DK$300,36,FALSE)="",0,VLOOKUP(CV200,$CA$113:$DK$300,36,FALSE))),DJ200),""),"")</f>
      </c>
      <c s="76">
        <f>IF(ISERROR(VLOOKUP(CV200,$AL$8:$AL$15,1,FALSE))=TRUE,IF(CL200&lt;&gt;"",IF(CL200&gt;0,IF($Z$4&lt;&gt;"",MIN(4,RANK(CL200,$CL$111:$CL$300)),RANK(CL200,$CL$111:$CL$300)),""),""),"")</f>
      </c>
      <c s="75">
        <f>IF(ISERROR(VLOOKUP(CV200,$AL$8:$AL$15,1,FALSE))=TRUE,IF(AND(ISERROR(FIND("NeighMkt",$CX$102))=FALSE,LEFT($CW$111,10)="ALL OUTLET",$CA200&lt;&gt;"",DJ200&lt;&gt;""),"",IF(AND($CV200&lt;&gt;$CW200,$CW200=CN$110),$DJ200,"")),"")</f>
      </c>
      <c s="76">
        <f>IF(ISERROR(VLOOKUP(CV200,$AL$8:$AL$15,1,FALSE))=TRUE,IF(CN200&lt;&gt;"",IF(CN200&gt;0,RANK(CN200,$CN$111:$CN$300),""),""),"")</f>
      </c>
      <c s="75">
        <f>IF(ISERROR(VLOOKUP(CV200,$AL$8:$AL$15,1,FALSE))=TRUE,IF(AND(ISERROR(FIND("NeighMkt",$CX$102))=FALSE,LEFT($CW$111,10)="ALL OUTLET",$CA200&lt;&gt;"",DJ200&lt;&gt;""),"",IF(AND($CV200&lt;&gt;$CW200,$CW200=CP$110),$DJ200,"")),"")</f>
      </c>
      <c s="76">
        <f>IF(ISERROR(VLOOKUP(CV200,$AL$8:$AL$15,1,FALSE))=TRUE,IF(CP200&lt;&gt;"",IF(CP200&gt;0,RANK(CP200,$CP$111:$CP$300),""),""),"")</f>
      </c>
      <c s="75">
        <f>IF(ISERROR(VLOOKUP(CV200,$AL$8:$AL$15,1,FALSE))=TRUE,IF(AND(ISERROR(FIND("NeighMkt",$CX$102))=FALSE,LEFT($CW$111,10)="ALL OUTLET",$CA200&lt;&gt;"",DJ200&lt;&gt;""),"",IF(AND($CV200&lt;&gt;$CW200,$CW200=CR$110),$DJ200,"")),"")</f>
      </c>
      <c s="76">
        <f>IF(ISERROR(VLOOKUP(CV200,$AL$8:$AL$15,1,FALSE))=TRUE,IF(CR200&lt;&gt;"",IF(CR200&gt;0,RANK(CR200,$CR$111:$CR$300),""),""),"")</f>
      </c>
      <c s="75">
        <f>IF(ISERROR(VLOOKUP(CV200,$AL$8:$AL$15,1,FALSE))=TRUE,IF(AND(ISERROR(FIND("NeighMkt",$CX$102))=FALSE,LEFT($CW$111,10)="ALL OUTLET",$CA200&lt;&gt;"",DJ200&lt;&gt;""),"",IF($Z$4="",IF(AND($CV200&lt;&gt;$CW200,$CW200=CT$110),$DJ200,""),IF(AND($CV200&lt;&gt;$CW200,$CW200&lt;&gt;CN$110,$CW200&lt;&gt;CP$110,$CW200&lt;&gt;CR$110,$CW200&lt;&gt;$CV$111),$DJ200,""))),"")</f>
      </c>
      <c s="76">
        <f>IF(ISERROR(VLOOKUP(CV200,$AL$8:$AL$15,1,FALSE))=TRUE,IF(CT200&lt;&gt;"",IF(CT200&gt;0,RANK(CT200,$CT$111:$CT$300),""),""),"")</f>
      </c>
      <c s="65" t="str">
        <f t="shared" si="19"/>
        <v>Whole Foods</v>
      </c>
      <c s="65" t="str">
        <f t="shared" si="20"/>
        <v>GroceryX</v>
      </c>
      <c s="72" t="str">
        <f>IF('[1]Leakage Tree Data'!A99&lt;&gt;"",'[1]Leakage Tree Data'!A99,"")</f>
        <v>Total US - Whole Foods</v>
      </c>
      <c s="72" t="str">
        <f>IF('[1]Leakage Tree Data'!B99&lt;&gt;"",'[1]Leakage Tree Data'!B99,"")</f>
        <v>Total US - GroceryX</v>
      </c>
      <c s="72">
        <f>IF('[1]Leakage Tree Data'!C99&lt;&gt;"",'[1]Leakage Tree Data'!C99,"")</f>
        <v>121171760.292236</v>
      </c>
      <c s="72">
        <f>IF('[1]Leakage Tree Data'!D99&lt;&gt;"",'[1]Leakage Tree Data'!D99,"")</f>
        <v>8600610.73690796</v>
      </c>
      <c s="72">
        <f>IF('[1]Leakage Tree Data'!E99&lt;&gt;"",'[1]Leakage Tree Data'!E99,"")</f>
        <v>7.09786728868625</v>
      </c>
      <c s="72">
        <f>IF('[1]Leakage Tree Data'!F99&lt;&gt;"",'[1]Leakage Tree Data'!F99,"")</f>
        <v>112571149.555328</v>
      </c>
      <c s="72">
        <f>IF('[1]Leakage Tree Data'!G99&lt;&gt;"",'[1]Leakage Tree Data'!G99,"")</f>
        <v>92.9021327113138</v>
      </c>
      <c s="72">
        <f>IF('[1]Leakage Tree Data'!H99&lt;&gt;"",'[1]Leakage Tree Data'!H99,"")</f>
        <v>61518209.9918823</v>
      </c>
      <c s="72" t="str">
        <f>IF('[1]Leakage Tree Data'!I99&lt;&gt;"",'[1]Leakage Tree Data'!I99,"")</f>
        <v>GroceryX</v>
      </c>
      <c s="72">
        <f>IF('[1]Leakage Tree Data'!J99&lt;&gt;"",'[1]Leakage Tree Data'!J99,"")</f>
        <v>99.8142368452892</v>
      </c>
      <c s="72">
        <f>IF('[1]Leakage Tree Data'!K99&lt;&gt;"",'[1]Leakage Tree Data'!K99,"")</f>
        <v>114278.167602539</v>
      </c>
      <c s="72">
        <f>IF('[1]Leakage Tree Data'!L99&lt;&gt;"",'[1]Leakage Tree Data'!L99,"")</f>
      </c>
      <c s="72">
        <f>IF('[1]Leakage Tree Data'!M99&lt;&gt;"",'[1]Leakage Tree Data'!M99,"")</f>
      </c>
      <c s="72">
        <f>IF('[1]Leakage Tree Data'!N99&lt;&gt;"",'[1]Leakage Tree Data'!N99,"")</f>
      </c>
      <c s="72">
        <f>IF('[1]Leakage Tree Data'!O99&lt;&gt;"",'[1]Leakage Tree Data'!O99,"")</f>
        <v>1.98033701250606</v>
      </c>
      <c s="72">
        <f>IF('[1]Leakage Tree Data'!P99&lt;&gt;"",'[1]Leakage Tree Data'!P99,"")</f>
        <v>1232632.65035048</v>
      </c>
      <c s="72">
        <f>IF('[1]Leakage Tree Data'!Q99&lt;&gt;"",'[1]Leakage Tree Data'!Q99,"")</f>
      </c>
      <c s="72">
        <f>IF('[1]Leakage Tree Data'!R99&lt;&gt;"",'[1]Leakage Tree Data'!R99,"")</f>
        <v>1017625.85098267</v>
      </c>
      <c s="72">
        <f>IF('[1]Leakage Tree Data'!S99&lt;&gt;"",'[1]Leakage Tree Data'!S99,"")</f>
        <v>-43910.1837463379</v>
      </c>
      <c s="72">
        <f>IF('[1]Leakage Tree Data'!T99&lt;&gt;"",'[1]Leakage Tree Data'!T99,"")</f>
        <v>-0.0966591093053362</v>
      </c>
      <c s="72">
        <f>IF('[1]Leakage Tree Data'!U99&lt;&gt;"",'[1]Leakage Tree Data'!U99,"")</f>
        <v>1061536.034729</v>
      </c>
      <c s="72">
        <f>IF('[1]Leakage Tree Data'!V99&lt;&gt;"",'[1]Leakage Tree Data'!V99,"")</f>
        <v>0.0966591093053353</v>
      </c>
      <c s="72">
        <f>IF('[1]Leakage Tree Data'!W99&lt;&gt;"",'[1]Leakage Tree Data'!W99,"")</f>
        <v>-1855949.2237854</v>
      </c>
      <c s="72">
        <f>IF('[1]Leakage Tree Data'!X99&lt;&gt;"",'[1]Leakage Tree Data'!X99,"")</f>
      </c>
      <c s="72">
        <f>IF('[1]Leakage Tree Data'!Y99&lt;&gt;"",'[1]Leakage Tree Data'!Y99,"")</f>
        <v>0.0450121189232817</v>
      </c>
      <c s="72">
        <f>IF('[1]Leakage Tree Data'!Z99&lt;&gt;"",'[1]Leakage Tree Data'!Z99,"")</f>
        <v>-31973.7217407227</v>
      </c>
      <c s="72">
        <f>IF('[1]Leakage Tree Data'!AA99&lt;&gt;"",'[1]Leakage Tree Data'!AA99,"")</f>
      </c>
      <c s="72">
        <f>IF('[1]Leakage Tree Data'!AB99&lt;&gt;"",'[1]Leakage Tree Data'!AB99,"")</f>
      </c>
      <c s="72">
        <f>IF('[1]Leakage Tree Data'!AC99&lt;&gt;"",'[1]Leakage Tree Data'!AC99,"")</f>
      </c>
      <c s="72">
        <f>IF('[1]Leakage Tree Data'!AD99&lt;&gt;"",'[1]Leakage Tree Data'!AD99,"")</f>
        <v>-0.199081717684753</v>
      </c>
      <c s="72">
        <f>IF('[1]Leakage Tree Data'!AE99&lt;&gt;"",'[1]Leakage Tree Data'!AE99,"")</f>
      </c>
      <c s="73">
        <f t="shared" si="21"/>
      </c>
      <c s="73">
        <f t="shared" si="22"/>
      </c>
      <c s="73">
        <f t="shared" si="23"/>
      </c>
      <c s="73">
        <f t="shared" si="24"/>
      </c>
      <c s="74">
        <f t="shared" si="25"/>
      </c>
      <c s="74">
        <f t="shared" si="26"/>
      </c>
      <c s="69" t="str">
        <f t="shared" si="17"/>
        <v>Total US - Whole Foods</v>
      </c>
      <c s="69" t="str">
        <f t="shared" si="18"/>
        <v>Total US - GroceryX</v>
      </c>
      <c s="77"/>
    </row>
    <row r="201" spans="1:141" ht="15">
      <c r="A20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201,$AL$8:$AL$15,1,FALSE))=TRUE,IF(AND(CV201=CW201,CV201&lt;&gt;"",DI$111&lt;&gt;"",DK201&lt;&gt;""),IF(CW$101="Y",DK201-IF(ISERROR(VLOOKUP(CV201,$CA$113:$DK$300,37,FALSE))=TRUE,0,IF(VLOOKUP(CV201,$CA$113:$DK$300,37,FALSE)="",0,VLOOKUP(CV201,$CA$113:$DK$300,37,FALSE))),DK201-IF(AND(CW$102="Y",CV201=$CW$111),DI$111,0)),""),"")</f>
      </c>
      <c s="76">
        <f>IF(ISERROR(VLOOKUP(CV201,$AL$8:$AL$15,1,FALSE))=TRUE,IF(CB201&lt;&gt;"",IF(CB201&gt;0,IF(Z$4&lt;&gt;"",MIN(4,RANK(CB201,$CB$111:$CB$300)),RANK(CB201,$CB$111:$CB$300)),""),""),"")</f>
      </c>
      <c s="75">
        <f>IF(ISERROR(VLOOKUP(CV201,$AL$8:$AL$15,1,FALSE))=TRUE,IF(AND(ISERROR(FIND("NeighMkt",$CX$102))=FALSE,LEFT($CW$111,10)="ALL OUTLET",$CA201&lt;&gt;"",DK201&lt;&gt;""),"",IF(AND($CV201&lt;&gt;$CW201,$CW201=CD$110),$DK201,"")),"")</f>
        <v>1943703.61079407</v>
      </c>
      <c s="76">
        <f>IF(ISERROR(VLOOKUP(CV201,$AL$8:$AL$15,1,FALSE))=TRUE,IF(CD201&lt;&gt;"",IF(CD201&gt;0,RANK(CD201,$CD$111:$CD$300),""),""),"")</f>
        <v>24</v>
      </c>
      <c s="75">
        <f>IF(ISERROR(VLOOKUP(CV201,$AL$8:$AL$15,1,FALSE))=TRUE,IF(AND(ISERROR(FIND("NeighMkt",$CX$102))=FALSE,LEFT($CW$111,10)="ALL OUTLET",$CA201&lt;&gt;"",DK201&lt;&gt;""),"",IF(AND($CV201&lt;&gt;$CW201,$CW201=CF$110),$DK201,"")),"")</f>
      </c>
      <c s="76">
        <f>IF(ISERROR(VLOOKUP(CV201,$AL$8:$AL$15,1,FALSE))=TRUE,IF(CF201&lt;&gt;"",IF(CF201&gt;0,RANK(CF201,$CF$111:$CF$300),""),""),"")</f>
      </c>
      <c s="75">
        <f>IF(ISERROR(VLOOKUP(CV201,$AL$8:$AL$15,1,FALSE))=TRUE,IF(AND(ISERROR(FIND("NeighMkt",$CX$102))=FALSE,LEFT($CW$111,10)="ALL OUTLET",$CA201&lt;&gt;"",DK201&lt;&gt;""),"",IF(AND($CV201&lt;&gt;$CW201,$CW201=CH$110),$DK201,"")),"")</f>
      </c>
      <c s="76">
        <f>IF(ISERROR(VLOOKUP(CV201,$AL$8:$AL$15,1,FALSE))=TRUE,IF(CH201&lt;&gt;"",IF(CH201&gt;0,RANK(CH201,$CH$111:$CH$300),""),""),"")</f>
      </c>
      <c s="75">
        <f>IF(ISERROR(VLOOKUP(CV201,$AL$8:$AL$15,1,FALSE))=TRUE,IF(AND(ISERROR(FIND("NeighMkt",$CX$102))=FALSE,LEFT($CW$111,10)="ALL OUTLET",$CA201&lt;&gt;"",DK201&lt;&gt;""),"",IF($Z$4="",IF(AND($CV201&lt;&gt;$CW201,$CW201=CJ$110),$DK201,""),IF(AND($CV201&lt;&gt;$CW201,$CW201&lt;&gt;CD$110,$CW201&lt;&gt;CF$110,$CW201&lt;&gt;CH$110,$CW201&lt;&gt;$CV$111),$DK201,""))),"")</f>
      </c>
      <c s="76">
        <f>IF(ISERROR(VLOOKUP(CV201,$AL$8:$AL$15,1,FALSE))=TRUE,IF(CJ201&lt;&gt;"",IF(CJ201&gt;0,RANK(CJ201,$CJ$111:$CJ$300),""),""),"")</f>
      </c>
      <c s="75">
        <f>IF(ISERROR(VLOOKUP(CV201,$AL$8:$AL$15,1,FALSE))=TRUE,IF(AND(CV201=CW201,CV201&lt;&gt;"",DJ201&lt;&gt;""),IF(AND(ISERROR(FIND("NeighMkt",$CX$102))=FALSE,LEFT($CW$111,10)="ALL OUTLET"),DJ201-IF(ISERROR(VLOOKUP(CV201,$CA$113:$DK$300,36,FALSE))=TRUE,0,IF(VLOOKUP(CV201,$CA$113:$DK$300,36,FALSE)="",0,VLOOKUP(CV201,$CA$113:$DK$300,36,FALSE))),DJ201),""),"")</f>
      </c>
      <c s="76">
        <f>IF(ISERROR(VLOOKUP(CV201,$AL$8:$AL$15,1,FALSE))=TRUE,IF(CL201&lt;&gt;"",IF(CL201&gt;0,IF($Z$4&lt;&gt;"",MIN(4,RANK(CL201,$CL$111:$CL$300)),RANK(CL201,$CL$111:$CL$300)),""),""),"")</f>
      </c>
      <c s="75">
        <f>IF(ISERROR(VLOOKUP(CV201,$AL$8:$AL$15,1,FALSE))=TRUE,IF(AND(ISERROR(FIND("NeighMkt",$CX$102))=FALSE,LEFT($CW$111,10)="ALL OUTLET",$CA201&lt;&gt;"",DJ201&lt;&gt;""),"",IF(AND($CV201&lt;&gt;$CW201,$CW201=CN$110),$DJ201,"")),"")</f>
        <v>8265336.88293457</v>
      </c>
      <c s="76">
        <f>IF(ISERROR(VLOOKUP(CV201,$AL$8:$AL$15,1,FALSE))=TRUE,IF(CN201&lt;&gt;"",IF(CN201&gt;0,RANK(CN201,$CN$111:$CN$300),""),""),"")</f>
        <v>17</v>
      </c>
      <c s="75">
        <f>IF(ISERROR(VLOOKUP(CV201,$AL$8:$AL$15,1,FALSE))=TRUE,IF(AND(ISERROR(FIND("NeighMkt",$CX$102))=FALSE,LEFT($CW$111,10)="ALL OUTLET",$CA201&lt;&gt;"",DJ201&lt;&gt;""),"",IF(AND($CV201&lt;&gt;$CW201,$CW201=CP$110),$DJ201,"")),"")</f>
      </c>
      <c s="76">
        <f>IF(ISERROR(VLOOKUP(CV201,$AL$8:$AL$15,1,FALSE))=TRUE,IF(CP201&lt;&gt;"",IF(CP201&gt;0,RANK(CP201,$CP$111:$CP$300),""),""),"")</f>
      </c>
      <c s="75">
        <f>IF(ISERROR(VLOOKUP(CV201,$AL$8:$AL$15,1,FALSE))=TRUE,IF(AND(ISERROR(FIND("NeighMkt",$CX$102))=FALSE,LEFT($CW$111,10)="ALL OUTLET",$CA201&lt;&gt;"",DJ201&lt;&gt;""),"",IF(AND($CV201&lt;&gt;$CW201,$CW201=CR$110),$DJ201,"")),"")</f>
      </c>
      <c s="76">
        <f>IF(ISERROR(VLOOKUP(CV201,$AL$8:$AL$15,1,FALSE))=TRUE,IF(CR201&lt;&gt;"",IF(CR201&gt;0,RANK(CR201,$CR$111:$CR$300),""),""),"")</f>
      </c>
      <c s="75">
        <f>IF(ISERROR(VLOOKUP(CV201,$AL$8:$AL$15,1,FALSE))=TRUE,IF(AND(ISERROR(FIND("NeighMkt",$CX$102))=FALSE,LEFT($CW$111,10)="ALL OUTLET",$CA201&lt;&gt;"",DJ201&lt;&gt;""),"",IF($Z$4="",IF(AND($CV201&lt;&gt;$CW201,$CW201=CT$110),$DJ201,""),IF(AND($CV201&lt;&gt;$CW201,$CW201&lt;&gt;CN$110,$CW201&lt;&gt;CP$110,$CW201&lt;&gt;CR$110,$CW201&lt;&gt;$CV$111),$DJ201,""))),"")</f>
      </c>
      <c s="76">
        <f>IF(ISERROR(VLOOKUP(CV201,$AL$8:$AL$15,1,FALSE))=TRUE,IF(CT201&lt;&gt;"",IF(CT201&gt;0,RANK(CT201,$CT$111:$CT$300),""),""),"")</f>
      </c>
      <c s="65" t="str">
        <f t="shared" si="19"/>
        <v>Winco Foods</v>
      </c>
      <c s="65" t="str">
        <f t="shared" si="20"/>
        <v>GroceryX</v>
      </c>
      <c s="72" t="str">
        <f>IF('[1]Leakage Tree Data'!A100&lt;&gt;"",'[1]Leakage Tree Data'!A100,"")</f>
        <v>Total US - Winco Foods</v>
      </c>
      <c s="72" t="str">
        <f>IF('[1]Leakage Tree Data'!B100&lt;&gt;"",'[1]Leakage Tree Data'!B100,"")</f>
        <v>Total US - GroceryX</v>
      </c>
      <c s="72">
        <f>IF('[1]Leakage Tree Data'!C100&lt;&gt;"",'[1]Leakage Tree Data'!C100,"")</f>
        <v>121171760.292236</v>
      </c>
      <c s="72">
        <f>IF('[1]Leakage Tree Data'!D100&lt;&gt;"",'[1]Leakage Tree Data'!D100,"")</f>
        <v>5405313.61218262</v>
      </c>
      <c s="72">
        <f>IF('[1]Leakage Tree Data'!E100&lt;&gt;"",'[1]Leakage Tree Data'!E100,"")</f>
        <v>4.46086909948848</v>
      </c>
      <c s="72">
        <f>IF('[1]Leakage Tree Data'!F100&lt;&gt;"",'[1]Leakage Tree Data'!F100,"")</f>
        <v>115766446.680054</v>
      </c>
      <c s="72">
        <f>IF('[1]Leakage Tree Data'!G100&lt;&gt;"",'[1]Leakage Tree Data'!G100,"")</f>
        <v>95.5391309005115</v>
      </c>
      <c s="72">
        <f>IF('[1]Leakage Tree Data'!H100&lt;&gt;"",'[1]Leakage Tree Data'!H100,"")</f>
        <v>61518209.9918823</v>
      </c>
      <c s="72" t="str">
        <f>IF('[1]Leakage Tree Data'!I100&lt;&gt;"",'[1]Leakage Tree Data'!I100,"")</f>
        <v>GroceryX</v>
      </c>
      <c s="72">
        <f>IF('[1]Leakage Tree Data'!J100&lt;&gt;"",'[1]Leakage Tree Data'!J100,"")</f>
        <v>98.8930079628048</v>
      </c>
      <c s="72">
        <f>IF('[1]Leakage Tree Data'!K100&lt;&gt;"",'[1]Leakage Tree Data'!K100,"")</f>
        <v>681001.686035156</v>
      </c>
      <c s="72">
        <f>IF('[1]Leakage Tree Data'!L100&lt;&gt;"",'[1]Leakage Tree Data'!L100,"")</f>
        <v>1943703.61079407</v>
      </c>
      <c s="72">
        <f>IF('[1]Leakage Tree Data'!M100&lt;&gt;"",'[1]Leakage Tree Data'!M100,"")</f>
        <v>8265336.88293457</v>
      </c>
      <c s="72">
        <f>IF('[1]Leakage Tree Data'!N100&lt;&gt;"",'[1]Leakage Tree Data'!N100,"")</f>
        <v>1943703.61079407</v>
      </c>
      <c s="72">
        <f>IF('[1]Leakage Tree Data'!O100&lt;&gt;"",'[1]Leakage Tree Data'!O100,"")</f>
        <v>23.2620113152498</v>
      </c>
      <c s="72">
        <f>IF('[1]Leakage Tree Data'!P100&lt;&gt;"",'[1]Leakage Tree Data'!P100,"")</f>
        <v>849322.314649546</v>
      </c>
      <c s="72">
        <f>IF('[1]Leakage Tree Data'!Q100&lt;&gt;"",'[1]Leakage Tree Data'!Q100,"")</f>
      </c>
      <c s="72">
        <f>IF('[1]Leakage Tree Data'!R100&lt;&gt;"",'[1]Leakage Tree Data'!R100,"")</f>
        <v>1017625.85098267</v>
      </c>
      <c s="72">
        <f>IF('[1]Leakage Tree Data'!S100&lt;&gt;"",'[1]Leakage Tree Data'!S100,"")</f>
        <v>187670.81918335</v>
      </c>
      <c s="72">
        <f>IF('[1]Leakage Tree Data'!T100&lt;&gt;"",'[1]Leakage Tree Data'!T100,"")</f>
        <v>0.118411124769094</v>
      </c>
      <c s="72">
        <f>IF('[1]Leakage Tree Data'!U100&lt;&gt;"",'[1]Leakage Tree Data'!U100,"")</f>
        <v>829955.031799316</v>
      </c>
      <c s="72">
        <f>IF('[1]Leakage Tree Data'!V100&lt;&gt;"",'[1]Leakage Tree Data'!V100,"")</f>
        <v>-0.118411124769096</v>
      </c>
      <c s="72">
        <f>IF('[1]Leakage Tree Data'!W100&lt;&gt;"",'[1]Leakage Tree Data'!W100,"")</f>
        <v>-1855949.2237854</v>
      </c>
      <c s="72">
        <f>IF('[1]Leakage Tree Data'!X100&lt;&gt;"",'[1]Leakage Tree Data'!X100,"")</f>
      </c>
      <c s="72">
        <f>IF('[1]Leakage Tree Data'!Y100&lt;&gt;"",'[1]Leakage Tree Data'!Y100,"")</f>
        <v>0.149419064200373</v>
      </c>
      <c s="72">
        <f>IF('[1]Leakage Tree Data'!Z100&lt;&gt;"",'[1]Leakage Tree Data'!Z100,"")</f>
        <v>-115238.285766602</v>
      </c>
      <c s="72">
        <f>IF('[1]Leakage Tree Data'!AA100&lt;&gt;"",'[1]Leakage Tree Data'!AA100,"")</f>
        <v>-1420702.97119141</v>
      </c>
      <c s="72">
        <f>IF('[1]Leakage Tree Data'!AB100&lt;&gt;"",'[1]Leakage Tree Data'!AB100,"")</f>
        <v>265723.990905762</v>
      </c>
      <c s="72">
        <f>IF('[1]Leakage Tree Data'!AC100&lt;&gt;"",'[1]Leakage Tree Data'!AC100,"")</f>
        <v>-1420702.97119141</v>
      </c>
      <c s="72">
        <f>IF('[1]Leakage Tree Data'!AD100&lt;&gt;"",'[1]Leakage Tree Data'!AD100,"")</f>
        <v>-2.54396736768803</v>
      </c>
      <c s="72">
        <f>IF('[1]Leakage Tree Data'!AE100&lt;&gt;"",'[1]Leakage Tree Data'!AE100,"")</f>
      </c>
      <c s="73">
        <f t="shared" si="21"/>
      </c>
      <c s="73">
        <f t="shared" si="22"/>
      </c>
      <c s="73">
        <f t="shared" si="23"/>
      </c>
      <c s="73">
        <f t="shared" si="24"/>
      </c>
      <c s="74">
        <f t="shared" si="25"/>
      </c>
      <c s="74">
        <f t="shared" si="26"/>
      </c>
      <c s="69" t="str">
        <f t="shared" si="17"/>
        <v>Total US - Winco Foods</v>
      </c>
      <c s="69" t="str">
        <f t="shared" si="18"/>
        <v>Total US - GroceryX</v>
      </c>
      <c s="77"/>
    </row>
    <row r="202" spans="1:141" ht="15">
      <c r="A20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202,$AL$8:$AL$15,1,FALSE))=TRUE,IF(AND(CV202=CW202,CV202&lt;&gt;"",DI$111&lt;&gt;"",DK202&lt;&gt;""),IF(CW$101="Y",DK202-IF(ISERROR(VLOOKUP(CV202,$CA$113:$DK$300,37,FALSE))=TRUE,0,IF(VLOOKUP(CV202,$CA$113:$DK$300,37,FALSE)="",0,VLOOKUP(CV202,$CA$113:$DK$300,37,FALSE))),DK202-IF(AND(CW$102="Y",CV202=$CW$111),DI$111,0)),""),"")</f>
      </c>
      <c s="76">
        <f>IF(ISERROR(VLOOKUP(CV202,$AL$8:$AL$15,1,FALSE))=TRUE,IF(CB202&lt;&gt;"",IF(CB202&gt;0,IF(Z$4&lt;&gt;"",MIN(4,RANK(CB202,$CB$111:$CB$300)),RANK(CB202,$CB$111:$CB$300)),""),""),"")</f>
      </c>
      <c s="75">
        <f>IF(ISERROR(VLOOKUP(CV202,$AL$8:$AL$15,1,FALSE))=TRUE,IF(AND(ISERROR(FIND("NeighMkt",$CX$102))=FALSE,LEFT($CW$111,10)="ALL OUTLET",$CA202&lt;&gt;"",DK202&lt;&gt;""),"",IF(AND($CV202&lt;&gt;$CW202,$CW202=CD$110),$DK202,"")),"")</f>
        <v>4654400.89485168</v>
      </c>
      <c s="76">
        <f>IF(ISERROR(VLOOKUP(CV202,$AL$8:$AL$15,1,FALSE))=TRUE,IF(CD202&lt;&gt;"",IF(CD202&gt;0,RANK(CD202,$CD$111:$CD$300),""),""),"")</f>
        <v>8</v>
      </c>
      <c s="75">
        <f>IF(ISERROR(VLOOKUP(CV202,$AL$8:$AL$15,1,FALSE))=TRUE,IF(AND(ISERROR(FIND("NeighMkt",$CX$102))=FALSE,LEFT($CW$111,10)="ALL OUTLET",$CA202&lt;&gt;"",DK202&lt;&gt;""),"",IF(AND($CV202&lt;&gt;$CW202,$CW202=CF$110),$DK202,"")),"")</f>
      </c>
      <c s="76">
        <f>IF(ISERROR(VLOOKUP(CV202,$AL$8:$AL$15,1,FALSE))=TRUE,IF(CF202&lt;&gt;"",IF(CF202&gt;0,RANK(CF202,$CF$111:$CF$300),""),""),"")</f>
      </c>
      <c s="75">
        <f>IF(ISERROR(VLOOKUP(CV202,$AL$8:$AL$15,1,FALSE))=TRUE,IF(AND(ISERROR(FIND("NeighMkt",$CX$102))=FALSE,LEFT($CW$111,10)="ALL OUTLET",$CA202&lt;&gt;"",DK202&lt;&gt;""),"",IF(AND($CV202&lt;&gt;$CW202,$CW202=CH$110),$DK202,"")),"")</f>
      </c>
      <c s="76">
        <f>IF(ISERROR(VLOOKUP(CV202,$AL$8:$AL$15,1,FALSE))=TRUE,IF(CH202&lt;&gt;"",IF(CH202&gt;0,RANK(CH202,$CH$111:$CH$300),""),""),"")</f>
      </c>
      <c s="75">
        <f>IF(ISERROR(VLOOKUP(CV202,$AL$8:$AL$15,1,FALSE))=TRUE,IF(AND(ISERROR(FIND("NeighMkt",$CX$102))=FALSE,LEFT($CW$111,10)="ALL OUTLET",$CA202&lt;&gt;"",DK202&lt;&gt;""),"",IF($Z$4="",IF(AND($CV202&lt;&gt;$CW202,$CW202=CJ$110),$DK202,""),IF(AND($CV202&lt;&gt;$CW202,$CW202&lt;&gt;CD$110,$CW202&lt;&gt;CF$110,$CW202&lt;&gt;CH$110,$CW202&lt;&gt;$CV$111),$DK202,""))),"")</f>
      </c>
      <c s="76">
        <f>IF(ISERROR(VLOOKUP(CV202,$AL$8:$AL$15,1,FALSE))=TRUE,IF(CJ202&lt;&gt;"",IF(CJ202&gt;0,RANK(CJ202,$CJ$111:$CJ$300),""),""),"")</f>
      </c>
      <c s="75">
        <f>IF(ISERROR(VLOOKUP(CV202,$AL$8:$AL$15,1,FALSE))=TRUE,IF(AND(CV202=CW202,CV202&lt;&gt;"",DJ202&lt;&gt;""),IF(AND(ISERROR(FIND("NeighMkt",$CX$102))=FALSE,LEFT($CW$111,10)="ALL OUTLET"),DJ202-IF(ISERROR(VLOOKUP(CV202,$CA$113:$DK$300,36,FALSE))=TRUE,0,IF(VLOOKUP(CV202,$CA$113:$DK$300,36,FALSE)="",0,VLOOKUP(CV202,$CA$113:$DK$300,36,FALSE))),DJ202),""),"")</f>
      </c>
      <c s="76">
        <f>IF(ISERROR(VLOOKUP(CV202,$AL$8:$AL$15,1,FALSE))=TRUE,IF(CL202&lt;&gt;"",IF(CL202&gt;0,IF($Z$4&lt;&gt;"",MIN(4,RANK(CL202,$CL$111:$CL$300)),RANK(CL202,$CL$111:$CL$300)),""),""),"")</f>
      </c>
      <c s="75">
        <f>IF(ISERROR(VLOOKUP(CV202,$AL$8:$AL$15,1,FALSE))=TRUE,IF(AND(ISERROR(FIND("NeighMkt",$CX$102))=FALSE,LEFT($CW$111,10)="ALL OUTLET",$CA202&lt;&gt;"",DJ202&lt;&gt;""),"",IF(AND($CV202&lt;&gt;$CW202,$CW202=CN$110),$DJ202,"")),"")</f>
        <v>14524008.1811752</v>
      </c>
      <c s="76">
        <f>IF(ISERROR(VLOOKUP(CV202,$AL$8:$AL$15,1,FALSE))=TRUE,IF(CN202&lt;&gt;"",IF(CN202&gt;0,RANK(CN202,$CN$111:$CN$300),""),""),"")</f>
        <v>8</v>
      </c>
      <c s="75">
        <f>IF(ISERROR(VLOOKUP(CV202,$AL$8:$AL$15,1,FALSE))=TRUE,IF(AND(ISERROR(FIND("NeighMkt",$CX$102))=FALSE,LEFT($CW$111,10)="ALL OUTLET",$CA202&lt;&gt;"",DJ202&lt;&gt;""),"",IF(AND($CV202&lt;&gt;$CW202,$CW202=CP$110),$DJ202,"")),"")</f>
      </c>
      <c s="76">
        <f>IF(ISERROR(VLOOKUP(CV202,$AL$8:$AL$15,1,FALSE))=TRUE,IF(CP202&lt;&gt;"",IF(CP202&gt;0,RANK(CP202,$CP$111:$CP$300),""),""),"")</f>
      </c>
      <c s="75">
        <f>IF(ISERROR(VLOOKUP(CV202,$AL$8:$AL$15,1,FALSE))=TRUE,IF(AND(ISERROR(FIND("NeighMkt",$CX$102))=FALSE,LEFT($CW$111,10)="ALL OUTLET",$CA202&lt;&gt;"",DJ202&lt;&gt;""),"",IF(AND($CV202&lt;&gt;$CW202,$CW202=CR$110),$DJ202,"")),"")</f>
      </c>
      <c s="76">
        <f>IF(ISERROR(VLOOKUP(CV202,$AL$8:$AL$15,1,FALSE))=TRUE,IF(CR202&lt;&gt;"",IF(CR202&gt;0,RANK(CR202,$CR$111:$CR$300),""),""),"")</f>
      </c>
      <c s="75">
        <f>IF(ISERROR(VLOOKUP(CV202,$AL$8:$AL$15,1,FALSE))=TRUE,IF(AND(ISERROR(FIND("NeighMkt",$CX$102))=FALSE,LEFT($CW$111,10)="ALL OUTLET",$CA202&lt;&gt;"",DJ202&lt;&gt;""),"",IF($Z$4="",IF(AND($CV202&lt;&gt;$CW202,$CW202=CT$110),$DJ202,""),IF(AND($CV202&lt;&gt;$CW202,$CW202&lt;&gt;CN$110,$CW202&lt;&gt;CP$110,$CW202&lt;&gt;CR$110,$CW202&lt;&gt;$CV$111),$DJ202,""))),"")</f>
      </c>
      <c s="76">
        <f>IF(ISERROR(VLOOKUP(CV202,$AL$8:$AL$15,1,FALSE))=TRUE,IF(CT202&lt;&gt;"",IF(CT202&gt;0,RANK(CT202,$CT$111:$CT$300),""),""),"")</f>
      </c>
      <c s="65" t="str">
        <f t="shared" si="19"/>
        <v>Winn Dixie</v>
      </c>
      <c s="65" t="str">
        <f t="shared" si="20"/>
        <v>GroceryX</v>
      </c>
      <c s="72" t="str">
        <f>IF('[1]Leakage Tree Data'!A101&lt;&gt;"",'[1]Leakage Tree Data'!A101,"")</f>
        <v>Total US - Winn Dixie</v>
      </c>
      <c s="72" t="str">
        <f>IF('[1]Leakage Tree Data'!B101&lt;&gt;"",'[1]Leakage Tree Data'!B101,"")</f>
        <v>Total US - GroceryX</v>
      </c>
      <c s="72">
        <f>IF('[1]Leakage Tree Data'!C101&lt;&gt;"",'[1]Leakage Tree Data'!C101,"")</f>
        <v>121171760.292236</v>
      </c>
      <c s="72">
        <f>IF('[1]Leakage Tree Data'!D101&lt;&gt;"",'[1]Leakage Tree Data'!D101,"")</f>
        <v>7214918.4442749</v>
      </c>
      <c s="72">
        <f>IF('[1]Leakage Tree Data'!E101&lt;&gt;"",'[1]Leakage Tree Data'!E101,"")</f>
        <v>5.95429036177596</v>
      </c>
      <c s="72">
        <f>IF('[1]Leakage Tree Data'!F101&lt;&gt;"",'[1]Leakage Tree Data'!F101,"")</f>
        <v>113956841.847961</v>
      </c>
      <c s="72">
        <f>IF('[1]Leakage Tree Data'!G101&lt;&gt;"",'[1]Leakage Tree Data'!G101,"")</f>
        <v>94.045709638224</v>
      </c>
      <c s="72">
        <f>IF('[1]Leakage Tree Data'!H101&lt;&gt;"",'[1]Leakage Tree Data'!H101,"")</f>
        <v>61518209.9918823</v>
      </c>
      <c s="72" t="str">
        <f>IF('[1]Leakage Tree Data'!I101&lt;&gt;"",'[1]Leakage Tree Data'!I101,"")</f>
        <v>GroceryX</v>
      </c>
      <c s="72">
        <f>IF('[1]Leakage Tree Data'!J101&lt;&gt;"",'[1]Leakage Tree Data'!J101,"")</f>
        <v>98.3356091106081</v>
      </c>
      <c s="72">
        <f>IF('[1]Leakage Tree Data'!K101&lt;&gt;"",'[1]Leakage Tree Data'!K101,"")</f>
        <v>1023903.48242188</v>
      </c>
      <c s="72">
        <f>IF('[1]Leakage Tree Data'!L101&lt;&gt;"",'[1]Leakage Tree Data'!L101,"")</f>
        <v>4654400.89485168</v>
      </c>
      <c s="72">
        <f>IF('[1]Leakage Tree Data'!M101&lt;&gt;"",'[1]Leakage Tree Data'!M101,"")</f>
        <v>14524008.1811752</v>
      </c>
      <c s="72">
        <f>IF('[1]Leakage Tree Data'!N101&lt;&gt;"",'[1]Leakage Tree Data'!N101,"")</f>
        <v>4654400.89485168</v>
      </c>
      <c s="72">
        <f>IF('[1]Leakage Tree Data'!O101&lt;&gt;"",'[1]Leakage Tree Data'!O101,"")</f>
        <v>30.26335465135</v>
      </c>
      <c s="72">
        <f>IF('[1]Leakage Tree Data'!P101&lt;&gt;"",'[1]Leakage Tree Data'!P101,"")</f>
        <v>1338363.79822345</v>
      </c>
      <c s="72">
        <f>IF('[1]Leakage Tree Data'!Q101&lt;&gt;"",'[1]Leakage Tree Data'!Q101,"")</f>
      </c>
      <c s="72">
        <f>IF('[1]Leakage Tree Data'!R101&lt;&gt;"",'[1]Leakage Tree Data'!R101,"")</f>
        <v>1017625.85098267</v>
      </c>
      <c s="72">
        <f>IF('[1]Leakage Tree Data'!S101&lt;&gt;"",'[1]Leakage Tree Data'!S101,"")</f>
        <v>-197922.58001709</v>
      </c>
      <c s="72">
        <f>IF('[1]Leakage Tree Data'!T101&lt;&gt;"",'[1]Leakage Tree Data'!T101,"")</f>
        <v>-0.215152794519514</v>
      </c>
      <c s="72">
        <f>IF('[1]Leakage Tree Data'!U101&lt;&gt;"",'[1]Leakage Tree Data'!U101,"")</f>
        <v>1215548.43099976</v>
      </c>
      <c s="72">
        <f>IF('[1]Leakage Tree Data'!V101&lt;&gt;"",'[1]Leakage Tree Data'!V101,"")</f>
        <v>0.215152794519511</v>
      </c>
      <c s="72">
        <f>IF('[1]Leakage Tree Data'!W101&lt;&gt;"",'[1]Leakage Tree Data'!W101,"")</f>
        <v>-1855949.2237854</v>
      </c>
      <c s="72">
        <f>IF('[1]Leakage Tree Data'!X101&lt;&gt;"",'[1]Leakage Tree Data'!X101,"")</f>
      </c>
      <c s="72">
        <f>IF('[1]Leakage Tree Data'!Y101&lt;&gt;"",'[1]Leakage Tree Data'!Y101,"")</f>
        <v>0.331476475114613</v>
      </c>
      <c s="72">
        <f>IF('[1]Leakage Tree Data'!Z101&lt;&gt;"",'[1]Leakage Tree Data'!Z101,"")</f>
        <v>-240960.678894043</v>
      </c>
      <c s="72">
        <f>IF('[1]Leakage Tree Data'!AA101&lt;&gt;"",'[1]Leakage Tree Data'!AA101,"")</f>
        <v>-1010497.88121033</v>
      </c>
      <c s="72">
        <f>IF('[1]Leakage Tree Data'!AB101&lt;&gt;"",'[1]Leakage Tree Data'!AB101,"")</f>
        <v>-2379983.94773865</v>
      </c>
      <c s="72">
        <f>IF('[1]Leakage Tree Data'!AC101&lt;&gt;"",'[1]Leakage Tree Data'!AC101,"")</f>
        <v>-1010497.88121033</v>
      </c>
      <c s="72">
        <f>IF('[1]Leakage Tree Data'!AD101&lt;&gt;"",'[1]Leakage Tree Data'!AD101,"")</f>
        <v>-3.01497948669871</v>
      </c>
      <c s="72">
        <f>IF('[1]Leakage Tree Data'!AE101&lt;&gt;"",'[1]Leakage Tree Data'!AE101,"")</f>
      </c>
      <c s="73">
        <f t="shared" si="21"/>
      </c>
      <c s="73">
        <f t="shared" si="22"/>
      </c>
      <c s="73">
        <f t="shared" si="23"/>
      </c>
      <c s="73">
        <f t="shared" si="24"/>
      </c>
      <c s="74">
        <f t="shared" si="25"/>
      </c>
      <c s="74">
        <f t="shared" si="26"/>
      </c>
      <c s="69" t="str">
        <f t="shared" si="17"/>
        <v>Total US - Winn Dixie</v>
      </c>
      <c s="69" t="str">
        <f t="shared" si="18"/>
        <v>Total US - GroceryX</v>
      </c>
      <c s="77"/>
    </row>
    <row r="203" spans="1:141" ht="15">
      <c r="A20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203,$AL$8:$AL$15,1,FALSE))=TRUE,IF(AND(CV203=CW203,CV203&lt;&gt;"",DI$111&lt;&gt;"",DK203&lt;&gt;""),IF(CW$101="Y",DK203-IF(ISERROR(VLOOKUP(CV203,$CA$113:$DK$300,37,FALSE))=TRUE,0,IF(VLOOKUP(CV203,$CA$113:$DK$300,37,FALSE)="",0,VLOOKUP(CV203,$CA$113:$DK$300,37,FALSE))),DK203-IF(AND(CW$102="Y",CV203=$CW$111),DI$111,0)),""),"")</f>
      </c>
      <c s="76">
        <f>IF(ISERROR(VLOOKUP(CV203,$AL$8:$AL$15,1,FALSE))=TRUE,IF(CB203&lt;&gt;"",IF(CB203&gt;0,IF(Z$4&lt;&gt;"",MIN(4,RANK(CB203,$CB$111:$CB$300)),RANK(CB203,$CB$111:$CB$300)),""),""),"")</f>
      </c>
      <c s="75">
        <f>IF(ISERROR(VLOOKUP(CV203,$AL$8:$AL$15,1,FALSE))=TRUE,IF(AND(ISERROR(FIND("NeighMkt",$CX$102))=FALSE,LEFT($CW$111,10)="ALL OUTLET",$CA203&lt;&gt;"",DK203&lt;&gt;""),"",IF(AND($CV203&lt;&gt;$CW203,$CW203=CD$110),$DK203,"")),"")</f>
      </c>
      <c s="76">
        <f>IF(ISERROR(VLOOKUP(CV203,$AL$8:$AL$15,1,FALSE))=TRUE,IF(CD203&lt;&gt;"",IF(CD203&gt;0,RANK(CD203,$CD$111:$CD$300),""),""),"")</f>
      </c>
      <c s="75">
        <f>IF(ISERROR(VLOOKUP(CV203,$AL$8:$AL$15,1,FALSE))=TRUE,IF(AND(ISERROR(FIND("NeighMkt",$CX$102))=FALSE,LEFT($CW$111,10)="ALL OUTLET",$CA203&lt;&gt;"",DK203&lt;&gt;""),"",IF(AND($CV203&lt;&gt;$CW203,$CW203=CF$110),$DK203,"")),"")</f>
      </c>
      <c s="76">
        <f>IF(ISERROR(VLOOKUP(CV203,$AL$8:$AL$15,1,FALSE))=TRUE,IF(CF203&lt;&gt;"",IF(CF203&gt;0,RANK(CF203,$CF$111:$CF$300),""),""),"")</f>
      </c>
      <c s="75">
        <f>IF(ISERROR(VLOOKUP(CV203,$AL$8:$AL$15,1,FALSE))=TRUE,IF(AND(ISERROR(FIND("NeighMkt",$CX$102))=FALSE,LEFT($CW$111,10)="ALL OUTLET",$CA203&lt;&gt;"",DK203&lt;&gt;""),"",IF(AND($CV203&lt;&gt;$CW203,$CW203=CH$110),$DK203,"")),"")</f>
      </c>
      <c s="76">
        <f>IF(ISERROR(VLOOKUP(CV203,$AL$8:$AL$15,1,FALSE))=TRUE,IF(CH203&lt;&gt;"",IF(CH203&gt;0,RANK(CH203,$CH$111:$CH$300),""),""),"")</f>
      </c>
      <c s="75">
        <f>IF(ISERROR(VLOOKUP(CV203,$AL$8:$AL$15,1,FALSE))=TRUE,IF(AND(ISERROR(FIND("NeighMkt",$CX$102))=FALSE,LEFT($CW$111,10)="ALL OUTLET",$CA203&lt;&gt;"",DK203&lt;&gt;""),"",IF($Z$4="",IF(AND($CV203&lt;&gt;$CW203,$CW203=CJ$110),$DK203,""),IF(AND($CV203&lt;&gt;$CW203,$CW203&lt;&gt;CD$110,$CW203&lt;&gt;CF$110,$CW203&lt;&gt;CH$110,$CW203&lt;&gt;$CV$111),$DK203,""))),"")</f>
      </c>
      <c s="76">
        <f>IF(ISERROR(VLOOKUP(CV203,$AL$8:$AL$15,1,FALSE))=TRUE,IF(CJ203&lt;&gt;"",IF(CJ203&gt;0,RANK(CJ203,$CJ$111:$CJ$300),""),""),"")</f>
      </c>
      <c s="75">
        <f>IF(ISERROR(VLOOKUP(CV203,$AL$8:$AL$15,1,FALSE))=TRUE,IF(AND(CV203=CW203,CV203&lt;&gt;"",DJ203&lt;&gt;""),IF(AND(ISERROR(FIND("NeighMkt",$CX$102))=FALSE,LEFT($CW$111,10)="ALL OUTLET"),DJ203-IF(ISERROR(VLOOKUP(CV203,$CA$113:$DK$300,36,FALSE))=TRUE,0,IF(VLOOKUP(CV203,$CA$113:$DK$300,36,FALSE)="",0,VLOOKUP(CV203,$CA$113:$DK$300,36,FALSE))),DJ203),""),"")</f>
      </c>
      <c s="76">
        <f>IF(ISERROR(VLOOKUP(CV203,$AL$8:$AL$15,1,FALSE))=TRUE,IF(CL203&lt;&gt;"",IF(CL203&gt;0,IF($Z$4&lt;&gt;"",MIN(4,RANK(CL203,$CL$111:$CL$300)),RANK(CL203,$CL$111:$CL$300)),""),""),"")</f>
      </c>
      <c s="75">
        <f>IF(ISERROR(VLOOKUP(CV203,$AL$8:$AL$15,1,FALSE))=TRUE,IF(AND(ISERROR(FIND("NeighMkt",$CX$102))=FALSE,LEFT($CW$111,10)="ALL OUTLET",$CA203&lt;&gt;"",DJ203&lt;&gt;""),"",IF(AND($CV203&lt;&gt;$CW203,$CW203=CN$110),$DJ203,"")),"")</f>
        <v>3164340.01428986</v>
      </c>
      <c s="76">
        <f>IF(ISERROR(VLOOKUP(CV203,$AL$8:$AL$15,1,FALSE))=TRUE,IF(CN203&lt;&gt;"",IF(CN203&gt;0,RANK(CN203,$CN$111:$CN$300),""),""),"")</f>
        <v>35</v>
      </c>
      <c s="75">
        <f>IF(ISERROR(VLOOKUP(CV203,$AL$8:$AL$15,1,FALSE))=TRUE,IF(AND(ISERROR(FIND("NeighMkt",$CX$102))=FALSE,LEFT($CW$111,10)="ALL OUTLET",$CA203&lt;&gt;"",DJ203&lt;&gt;""),"",IF(AND($CV203&lt;&gt;$CW203,$CW203=CP$110),$DJ203,"")),"")</f>
      </c>
      <c s="76">
        <f>IF(ISERROR(VLOOKUP(CV203,$AL$8:$AL$15,1,FALSE))=TRUE,IF(CP203&lt;&gt;"",IF(CP203&gt;0,RANK(CP203,$CP$111:$CP$300),""),""),"")</f>
      </c>
      <c s="75">
        <f>IF(ISERROR(VLOOKUP(CV203,$AL$8:$AL$15,1,FALSE))=TRUE,IF(AND(ISERROR(FIND("NeighMkt",$CX$102))=FALSE,LEFT($CW$111,10)="ALL OUTLET",$CA203&lt;&gt;"",DJ203&lt;&gt;""),"",IF(AND($CV203&lt;&gt;$CW203,$CW203=CR$110),$DJ203,"")),"")</f>
      </c>
      <c s="76">
        <f>IF(ISERROR(VLOOKUP(CV203,$AL$8:$AL$15,1,FALSE))=TRUE,IF(CR203&lt;&gt;"",IF(CR203&gt;0,RANK(CR203,$CR$111:$CR$300),""),""),"")</f>
      </c>
      <c s="75">
        <f>IF(ISERROR(VLOOKUP(CV203,$AL$8:$AL$15,1,FALSE))=TRUE,IF(AND(ISERROR(FIND("NeighMkt",$CX$102))=FALSE,LEFT($CW$111,10)="ALL OUTLET",$CA203&lt;&gt;"",DJ203&lt;&gt;""),"",IF($Z$4="",IF(AND($CV203&lt;&gt;$CW203,$CW203=CT$110),$DJ203,""),IF(AND($CV203&lt;&gt;$CW203,$CW203&lt;&gt;CN$110,$CW203&lt;&gt;CP$110,$CW203&lt;&gt;CR$110,$CW203&lt;&gt;$CV$111),$DJ203,""))),"")</f>
      </c>
      <c s="76">
        <f>IF(ISERROR(VLOOKUP(CV203,$AL$8:$AL$15,1,FALSE))=TRUE,IF(CT203&lt;&gt;"",IF(CT203&gt;0,RANK(CT203,$CT$111:$CT$300),""),""),"")</f>
      </c>
      <c s="65" t="str">
        <f t="shared" si="19"/>
        <v>Woodmans Markets</v>
      </c>
      <c s="65" t="str">
        <f t="shared" si="20"/>
        <v>GroceryX</v>
      </c>
      <c s="72" t="str">
        <f>IF('[1]Leakage Tree Data'!A102&lt;&gt;"",'[1]Leakage Tree Data'!A102,"")</f>
        <v>Total US - Woodmans Markets</v>
      </c>
      <c s="72" t="str">
        <f>IF('[1]Leakage Tree Data'!B102&lt;&gt;"",'[1]Leakage Tree Data'!B102,"")</f>
        <v>Total US - GroceryX</v>
      </c>
      <c s="72">
        <f>IF('[1]Leakage Tree Data'!C102&lt;&gt;"",'[1]Leakage Tree Data'!C102,"")</f>
        <v>121171760.292236</v>
      </c>
      <c s="72">
        <f>IF('[1]Leakage Tree Data'!D102&lt;&gt;"",'[1]Leakage Tree Data'!D102,"")</f>
        <v>1026193.93096924</v>
      </c>
      <c s="72">
        <f>IF('[1]Leakage Tree Data'!E102&lt;&gt;"",'[1]Leakage Tree Data'!E102,"")</f>
        <v>0.846891989102339</v>
      </c>
      <c s="72">
        <f>IF('[1]Leakage Tree Data'!F102&lt;&gt;"",'[1]Leakage Tree Data'!F102,"")</f>
        <v>120145566.361267</v>
      </c>
      <c s="72">
        <f>IF('[1]Leakage Tree Data'!G102&lt;&gt;"",'[1]Leakage Tree Data'!G102,"")</f>
        <v>99.1531080108977</v>
      </c>
      <c s="72">
        <f>IF('[1]Leakage Tree Data'!H102&lt;&gt;"",'[1]Leakage Tree Data'!H102,"")</f>
        <v>61518209.9918823</v>
      </c>
      <c s="72" t="str">
        <f>IF('[1]Leakage Tree Data'!I102&lt;&gt;"",'[1]Leakage Tree Data'!I102,"")</f>
        <v>GroceryX</v>
      </c>
      <c s="72">
        <f>IF('[1]Leakage Tree Data'!J102&lt;&gt;"",'[1]Leakage Tree Data'!J102,"")</f>
        <v>99.6508685199048</v>
      </c>
      <c s="72">
        <f>IF('[1]Leakage Tree Data'!K102&lt;&gt;"",'[1]Leakage Tree Data'!K102,"")</f>
        <v>214779.437072754</v>
      </c>
      <c s="72">
        <f>IF('[1]Leakage Tree Data'!L102&lt;&gt;"",'[1]Leakage Tree Data'!L102,"")</f>
      </c>
      <c s="72">
        <f>IF('[1]Leakage Tree Data'!M102&lt;&gt;"",'[1]Leakage Tree Data'!M102,"")</f>
        <v>3164340.01428986</v>
      </c>
      <c s="72">
        <f>IF('[1]Leakage Tree Data'!N102&lt;&gt;"",'[1]Leakage Tree Data'!N102,"")</f>
      </c>
      <c s="72">
        <f>IF('[1]Leakage Tree Data'!O102&lt;&gt;"",'[1]Leakage Tree Data'!O102,"")</f>
        <v>33.3661891723734</v>
      </c>
      <c s="72">
        <f>IF('[1]Leakage Tree Data'!P102&lt;&gt;"",'[1]Leakage Tree Data'!P102,"")</f>
        <v>179055.503094145</v>
      </c>
      <c s="72">
        <f>IF('[1]Leakage Tree Data'!Q102&lt;&gt;"",'[1]Leakage Tree Data'!Q102,"")</f>
      </c>
      <c s="72">
        <f>IF('[1]Leakage Tree Data'!R102&lt;&gt;"",'[1]Leakage Tree Data'!R102,"")</f>
        <v>1017625.85098267</v>
      </c>
      <c s="72">
        <f>IF('[1]Leakage Tree Data'!S102&lt;&gt;"",'[1]Leakage Tree Data'!S102,"")</f>
        <v>-32618.8716125488</v>
      </c>
      <c s="72">
        <f>IF('[1]Leakage Tree Data'!T102&lt;&gt;"",'[1]Leakage Tree Data'!T102,"")</f>
        <v>-0.0343201368935975</v>
      </c>
      <c s="72">
        <f>IF('[1]Leakage Tree Data'!U102&lt;&gt;"",'[1]Leakage Tree Data'!U102,"")</f>
        <v>1050244.72259521</v>
      </c>
      <c s="72">
        <f>IF('[1]Leakage Tree Data'!V102&lt;&gt;"",'[1]Leakage Tree Data'!V102,"")</f>
        <v>0.0343201368935979</v>
      </c>
      <c s="72">
        <f>IF('[1]Leakage Tree Data'!W102&lt;&gt;"",'[1]Leakage Tree Data'!W102,"")</f>
        <v>-1855949.2237854</v>
      </c>
      <c s="72">
        <f>IF('[1]Leakage Tree Data'!X102&lt;&gt;"",'[1]Leakage Tree Data'!X102,"")</f>
      </c>
      <c s="72">
        <f>IF('[1]Leakage Tree Data'!Y102&lt;&gt;"",'[1]Leakage Tree Data'!Y102,"")</f>
        <v>0.0483049001798292</v>
      </c>
      <c s="72">
        <f>IF('[1]Leakage Tree Data'!Z102&lt;&gt;"",'[1]Leakage Tree Data'!Z102,"")</f>
        <v>-37092.52734375</v>
      </c>
      <c s="72">
        <f>IF('[1]Leakage Tree Data'!AA102&lt;&gt;"",'[1]Leakage Tree Data'!AA102,"")</f>
      </c>
      <c s="72">
        <f>IF('[1]Leakage Tree Data'!AB102&lt;&gt;"",'[1]Leakage Tree Data'!AB102,"")</f>
        <v>511853.656715393</v>
      </c>
      <c s="72">
        <f>IF('[1]Leakage Tree Data'!AC102&lt;&gt;"",'[1]Leakage Tree Data'!AC102,"")</f>
      </c>
      <c s="72">
        <f>IF('[1]Leakage Tree Data'!AD102&lt;&gt;"",'[1]Leakage Tree Data'!AD102,"")</f>
        <v>-3.07954051186437</v>
      </c>
      <c s="72">
        <f>IF('[1]Leakage Tree Data'!AE102&lt;&gt;"",'[1]Leakage Tree Data'!AE102,"")</f>
      </c>
      <c s="73">
        <f t="shared" si="21"/>
      </c>
      <c s="73">
        <f t="shared" si="22"/>
      </c>
      <c s="73">
        <f t="shared" si="23"/>
      </c>
      <c s="73">
        <f t="shared" si="24"/>
      </c>
      <c s="74">
        <f t="shared" si="25"/>
      </c>
      <c s="74">
        <f t="shared" si="26"/>
      </c>
      <c s="69" t="str">
        <f t="shared" si="17"/>
        <v>Total US - Woodmans Markets</v>
      </c>
      <c s="69" t="str">
        <f t="shared" si="18"/>
        <v>Total US - GroceryX</v>
      </c>
      <c s="77"/>
    </row>
    <row r="204" spans="1:141" ht="15">
      <c r="A20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204,$AL$8:$AL$15,1,FALSE))=TRUE,IF(AND(CV204=CW204,CV204&lt;&gt;"",DI$111&lt;&gt;"",DK204&lt;&gt;""),IF(CW$101="Y",DK204-IF(ISERROR(VLOOKUP(CV204,$CA$113:$DK$300,37,FALSE))=TRUE,0,IF(VLOOKUP(CV204,$CA$113:$DK$300,37,FALSE)="",0,VLOOKUP(CV204,$CA$113:$DK$300,37,FALSE))),DK204-IF(AND(CW$102="Y",CV204=$CW$111),DI$111,0)),""),"")</f>
        <v>7482799.30241585</v>
      </c>
      <c s="76">
        <f>IF(ISERROR(VLOOKUP(CV204,$AL$8:$AL$15,1,FALSE))=TRUE,IF(CB204&lt;&gt;"",IF(CB204&gt;0,IF(Z$4&lt;&gt;"",MIN(4,RANK(CB204,$CB$111:$CB$300)),RANK(CB204,$CB$111:$CB$300)),""),""),"")</f>
        <v>4</v>
      </c>
      <c s="75">
        <f>IF(ISERROR(VLOOKUP(CV204,$AL$8:$AL$15,1,FALSE))=TRUE,IF(AND(ISERROR(FIND("NeighMkt",$CX$102))=FALSE,LEFT($CW$111,10)="ALL OUTLET",$CA204&lt;&gt;"",DK204&lt;&gt;""),"",IF(AND($CV204&lt;&gt;$CW204,$CW204=CD$110),$DK204,"")),"")</f>
      </c>
      <c s="76">
        <f>IF(ISERROR(VLOOKUP(CV204,$AL$8:$AL$15,1,FALSE))=TRUE,IF(CD204&lt;&gt;"",IF(CD204&gt;0,RANK(CD204,$CD$111:$CD$300),""),""),"")</f>
      </c>
      <c s="75">
        <f>IF(ISERROR(VLOOKUP(CV204,$AL$8:$AL$15,1,FALSE))=TRUE,IF(AND(ISERROR(FIND("NeighMkt",$CX$102))=FALSE,LEFT($CW$111,10)="ALL OUTLET",$CA204&lt;&gt;"",DK204&lt;&gt;""),"",IF(AND($CV204&lt;&gt;$CW204,$CW204=CF$110),$DK204,"")),"")</f>
      </c>
      <c s="76">
        <f>IF(ISERROR(VLOOKUP(CV204,$AL$8:$AL$15,1,FALSE))=TRUE,IF(CF204&lt;&gt;"",IF(CF204&gt;0,RANK(CF204,$CF$111:$CF$300),""),""),"")</f>
      </c>
      <c s="75">
        <f>IF(ISERROR(VLOOKUP(CV204,$AL$8:$AL$15,1,FALSE))=TRUE,IF(AND(ISERROR(FIND("NeighMkt",$CX$102))=FALSE,LEFT($CW$111,10)="ALL OUTLET",$CA204&lt;&gt;"",DK204&lt;&gt;""),"",IF(AND($CV204&lt;&gt;$CW204,$CW204=CH$110),$DK204,"")),"")</f>
      </c>
      <c s="76">
        <f>IF(ISERROR(VLOOKUP(CV204,$AL$8:$AL$15,1,FALSE))=TRUE,IF(CH204&lt;&gt;"",IF(CH204&gt;0,RANK(CH204,$CH$111:$CH$300),""),""),"")</f>
      </c>
      <c s="75">
        <f>IF(ISERROR(VLOOKUP(CV204,$AL$8:$AL$15,1,FALSE))=TRUE,IF(AND(ISERROR(FIND("NeighMkt",$CX$102))=FALSE,LEFT($CW$111,10)="ALL OUTLET",$CA204&lt;&gt;"",DK204&lt;&gt;""),"",IF($Z$4="",IF(AND($CV204&lt;&gt;$CW204,$CW204=CJ$110),$DK204,""),IF(AND($CV204&lt;&gt;$CW204,$CW204&lt;&gt;CD$110,$CW204&lt;&gt;CF$110,$CW204&lt;&gt;CH$110,$CW204&lt;&gt;$CV$111),$DK204,""))),"")</f>
      </c>
      <c s="76">
        <f>IF(ISERROR(VLOOKUP(CV204,$AL$8:$AL$15,1,FALSE))=TRUE,IF(CJ204&lt;&gt;"",IF(CJ204&gt;0,RANK(CJ204,$CJ$111:$CJ$300),""),""),"")</f>
      </c>
      <c s="75">
        <f>IF(ISERROR(VLOOKUP(CV204,$AL$8:$AL$15,1,FALSE))=TRUE,IF(AND(CV204=CW204,CV204&lt;&gt;"",DJ204&lt;&gt;""),IF(AND(ISERROR(FIND("NeighMkt",$CX$102))=FALSE,LEFT($CW$111,10)="ALL OUTLET"),DJ204-IF(ISERROR(VLOOKUP(CV204,$CA$113:$DK$300,36,FALSE))=TRUE,0,IF(VLOOKUP(CV204,$CA$113:$DK$300,36,FALSE)="",0,VLOOKUP(CV204,$CA$113:$DK$300,36,FALSE))),DJ204),""),"")</f>
        <v>21616920.5179443</v>
      </c>
      <c s="76">
        <f>IF(ISERROR(VLOOKUP(CV204,$AL$8:$AL$15,1,FALSE))=TRUE,IF(CL204&lt;&gt;"",IF(CL204&gt;0,IF($Z$4&lt;&gt;"",MIN(4,RANK(CL204,$CL$111:$CL$300)),RANK(CL204,$CL$111:$CL$300)),""),""),"")</f>
        <v>4</v>
      </c>
      <c s="75">
        <f>IF(ISERROR(VLOOKUP(CV204,$AL$8:$AL$15,1,FALSE))=TRUE,IF(AND(ISERROR(FIND("NeighMkt",$CX$102))=FALSE,LEFT($CW$111,10)="ALL OUTLET",$CA204&lt;&gt;"",DJ204&lt;&gt;""),"",IF(AND($CV204&lt;&gt;$CW204,$CW204=CN$110),$DJ204,"")),"")</f>
      </c>
      <c s="76">
        <f>IF(ISERROR(VLOOKUP(CV204,$AL$8:$AL$15,1,FALSE))=TRUE,IF(CN204&lt;&gt;"",IF(CN204&gt;0,RANK(CN204,$CN$111:$CN$300),""),""),"")</f>
      </c>
      <c s="75">
        <f>IF(ISERROR(VLOOKUP(CV204,$AL$8:$AL$15,1,FALSE))=TRUE,IF(AND(ISERROR(FIND("NeighMkt",$CX$102))=FALSE,LEFT($CW$111,10)="ALL OUTLET",$CA204&lt;&gt;"",DJ204&lt;&gt;""),"",IF(AND($CV204&lt;&gt;$CW204,$CW204=CP$110),$DJ204,"")),"")</f>
      </c>
      <c s="76">
        <f>IF(ISERROR(VLOOKUP(CV204,$AL$8:$AL$15,1,FALSE))=TRUE,IF(CP204&lt;&gt;"",IF(CP204&gt;0,RANK(CP204,$CP$111:$CP$300),""),""),"")</f>
      </c>
      <c s="75">
        <f>IF(ISERROR(VLOOKUP(CV204,$AL$8:$AL$15,1,FALSE))=TRUE,IF(AND(ISERROR(FIND("NeighMkt",$CX$102))=FALSE,LEFT($CW$111,10)="ALL OUTLET",$CA204&lt;&gt;"",DJ204&lt;&gt;""),"",IF(AND($CV204&lt;&gt;$CW204,$CW204=CR$110),$DJ204,"")),"")</f>
      </c>
      <c s="76">
        <f>IF(ISERROR(VLOOKUP(CV204,$AL$8:$AL$15,1,FALSE))=TRUE,IF(CR204&lt;&gt;"",IF(CR204&gt;0,RANK(CR204,$CR$111:$CR$300),""),""),"")</f>
      </c>
      <c s="75">
        <f>IF(ISERROR(VLOOKUP(CV204,$AL$8:$AL$15,1,FALSE))=TRUE,IF(AND(ISERROR(FIND("NeighMkt",$CX$102))=FALSE,LEFT($CW$111,10)="ALL OUTLET",$CA204&lt;&gt;"",DJ204&lt;&gt;""),"",IF($Z$4="",IF(AND($CV204&lt;&gt;$CW204,$CW204=CT$110),$DJ204,""),IF(AND($CV204&lt;&gt;$CW204,$CW204&lt;&gt;CN$110,$CW204&lt;&gt;CP$110,$CW204&lt;&gt;CR$110,$CW204&lt;&gt;$CV$111),$DJ204,""))),"")</f>
      </c>
      <c s="76">
        <f>IF(ISERROR(VLOOKUP(CV204,$AL$8:$AL$15,1,FALSE))=TRUE,IF(CT204&lt;&gt;"",IF(CT204&gt;0,RANK(CT204,$CT$111:$CT$300),""),""),"")</f>
      </c>
      <c s="65" t="str">
        <f t="shared" si="19"/>
        <v>Hardware-Home</v>
      </c>
      <c s="65" t="str">
        <f t="shared" si="20"/>
        <v>Hardware-Home</v>
      </c>
      <c s="72" t="str">
        <f>IF('[1]Leakage Tree Data'!A103&lt;&gt;"",'[1]Leakage Tree Data'!A103,"")</f>
        <v>Total US - Hardware-Home</v>
      </c>
      <c s="72" t="str">
        <f>IF('[1]Leakage Tree Data'!B103&lt;&gt;"",'[1]Leakage Tree Data'!B103,"")</f>
        <v>Total US - Hardware-Home</v>
      </c>
      <c s="72">
        <f>IF('[1]Leakage Tree Data'!C103&lt;&gt;"",'[1]Leakage Tree Data'!C103,"")</f>
        <v>121171760.292236</v>
      </c>
      <c s="72">
        <f>IF('[1]Leakage Tree Data'!D103&lt;&gt;"",'[1]Leakage Tree Data'!D103,"")</f>
        <v>76705402.4938354</v>
      </c>
      <c s="72">
        <f>IF('[1]Leakage Tree Data'!E103&lt;&gt;"",'[1]Leakage Tree Data'!E103,"")</f>
        <v>63.3030355495711</v>
      </c>
      <c s="72">
        <f>IF('[1]Leakage Tree Data'!F103&lt;&gt;"",'[1]Leakage Tree Data'!F103,"")</f>
        <v>44466357.7984009</v>
      </c>
      <c s="72">
        <f>IF('[1]Leakage Tree Data'!G103&lt;&gt;"",'[1]Leakage Tree Data'!G103,"")</f>
        <v>36.6969644504289</v>
      </c>
      <c s="72">
        <f>IF('[1]Leakage Tree Data'!H103&lt;&gt;"",'[1]Leakage Tree Data'!H103,"")</f>
        <v>61518209.9918823</v>
      </c>
      <c s="72" t="str">
        <f>IF('[1]Leakage Tree Data'!I103&lt;&gt;"",'[1]Leakage Tree Data'!I103,"")</f>
        <v>Hardware-Home</v>
      </c>
      <c s="72">
        <f>IF('[1]Leakage Tree Data'!J103&lt;&gt;"",'[1]Leakage Tree Data'!J103,"")</f>
        <v>96.0034784754471</v>
      </c>
      <c s="72">
        <f>IF('[1]Leakage Tree Data'!K103&lt;&gt;"",'[1]Leakage Tree Data'!K103,"")</f>
        <v>2458588.50384521</v>
      </c>
      <c s="72">
        <f>IF('[1]Leakage Tree Data'!L103&lt;&gt;"",'[1]Leakage Tree Data'!L103,"")</f>
        <v>7482799.30241585</v>
      </c>
      <c s="72">
        <f>IF('[1]Leakage Tree Data'!M103&lt;&gt;"",'[1]Leakage Tree Data'!M103,"")</f>
        <v>21616920.5179443</v>
      </c>
      <c s="72">
        <f>IF('[1]Leakage Tree Data'!N103&lt;&gt;"",'[1]Leakage Tree Data'!N103,"")</f>
        <v>7482799.30241585</v>
      </c>
      <c s="72">
        <f>IF('[1]Leakage Tree Data'!O103&lt;&gt;"",'[1]Leakage Tree Data'!O103,"")</f>
        <v>5.47178730151564</v>
      </c>
      <c s="72">
        <f>IF('[1]Leakage Tree Data'!P103&lt;&gt;"",'[1]Leakage Tree Data'!P103,"")</f>
        <v>10114752.9692085</v>
      </c>
      <c s="72">
        <f>IF('[1]Leakage Tree Data'!Q103&lt;&gt;"",'[1]Leakage Tree Data'!Q103,"")</f>
      </c>
      <c s="72">
        <f>IF('[1]Leakage Tree Data'!R103&lt;&gt;"",'[1]Leakage Tree Data'!R103,"")</f>
        <v>1017625.85098267</v>
      </c>
      <c s="72">
        <f>IF('[1]Leakage Tree Data'!S103&lt;&gt;"",'[1]Leakage Tree Data'!S103,"")</f>
        <v>-1359385.17697144</v>
      </c>
      <c s="72">
        <f>IF('[1]Leakage Tree Data'!T103&lt;&gt;"",'[1]Leakage Tree Data'!T103,"")</f>
        <v>-1.66750252956149</v>
      </c>
      <c s="72">
        <f>IF('[1]Leakage Tree Data'!U103&lt;&gt;"",'[1]Leakage Tree Data'!U103,"")</f>
        <v>2377011.0279541</v>
      </c>
      <c s="72">
        <f>IF('[1]Leakage Tree Data'!V103&lt;&gt;"",'[1]Leakage Tree Data'!V103,"")</f>
        <v>1.66750252956149</v>
      </c>
      <c s="72">
        <f>IF('[1]Leakage Tree Data'!W103&lt;&gt;"",'[1]Leakage Tree Data'!W103,"")</f>
        <v>-1855949.2237854</v>
      </c>
      <c s="72">
        <f>IF('[1]Leakage Tree Data'!X103&lt;&gt;"",'[1]Leakage Tree Data'!X103,"")</f>
      </c>
      <c s="72">
        <f>IF('[1]Leakage Tree Data'!Y103&lt;&gt;"",'[1]Leakage Tree Data'!Y103,"")</f>
        <v>0.189952411193374</v>
      </c>
      <c s="72">
        <f>IF('[1]Leakage Tree Data'!Z103&lt;&gt;"",'[1]Leakage Tree Data'!Z103,"")</f>
        <v>-194554.153717041</v>
      </c>
      <c s="72">
        <f>IF('[1]Leakage Tree Data'!AA103&lt;&gt;"",'[1]Leakage Tree Data'!AA103,"")</f>
        <v>-51013.6462898254</v>
      </c>
      <c s="72">
        <f>IF('[1]Leakage Tree Data'!AB103&lt;&gt;"",'[1]Leakage Tree Data'!AB103,"")</f>
        <v>-1145909.36522675</v>
      </c>
      <c s="72">
        <f>IF('[1]Leakage Tree Data'!AC103&lt;&gt;"",'[1]Leakage Tree Data'!AC103,"")</f>
        <v>-51013.6462898254</v>
      </c>
      <c s="72">
        <f>IF('[1]Leakage Tree Data'!AD103&lt;&gt;"",'[1]Leakage Tree Data'!AD103,"")</f>
        <v>-0.268511148142614</v>
      </c>
      <c s="72">
        <f>IF('[1]Leakage Tree Data'!AE103&lt;&gt;"",'[1]Leakage Tree Data'!AE103,"")</f>
      </c>
      <c s="73">
        <f t="shared" si="21"/>
        <v>21616920.5179443</v>
      </c>
      <c s="73">
        <f t="shared" si="22"/>
        <v>7482799.30241585</v>
      </c>
      <c s="73">
        <f t="shared" si="23"/>
        <v>-1145909.36522675</v>
      </c>
      <c s="73">
        <f t="shared" si="24"/>
        <v>-51013.6462898254</v>
      </c>
      <c s="74">
        <f t="shared" si="25"/>
        <v>-5.27565872715848E-05</v>
      </c>
      <c s="74">
        <f t="shared" si="26"/>
        <v>0.00153446477837724</v>
      </c>
      <c s="69" t="str">
        <f t="shared" si="17"/>
        <v>Total US - Hardware-Home</v>
      </c>
      <c s="69" t="str">
        <f t="shared" si="18"/>
        <v>Total US - Hardware-Home</v>
      </c>
      <c s="77"/>
    </row>
    <row r="205" spans="1:141" ht="15">
      <c r="A20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205,$AL$8:$AL$15,1,FALSE))=TRUE,IF(AND(CV205=CW205,CV205&lt;&gt;"",DI$111&lt;&gt;"",DK205&lt;&gt;""),IF(CW$101="Y",DK205-IF(ISERROR(VLOOKUP(CV205,$CA$113:$DK$300,37,FALSE))=TRUE,0,IF(VLOOKUP(CV205,$CA$113:$DK$300,37,FALSE)="",0,VLOOKUP(CV205,$CA$113:$DK$300,37,FALSE))),DK205-IF(AND(CW$102="Y",CV205=$CW$111),DI$111,0)),""),"")</f>
      </c>
      <c s="76">
        <f>IF(ISERROR(VLOOKUP(CV205,$AL$8:$AL$15,1,FALSE))=TRUE,IF(CB205&lt;&gt;"",IF(CB205&gt;0,IF(Z$4&lt;&gt;"",MIN(4,RANK(CB205,$CB$111:$CB$300)),RANK(CB205,$CB$111:$CB$300)),""),""),"")</f>
      </c>
      <c s="75">
        <f>IF(ISERROR(VLOOKUP(CV205,$AL$8:$AL$15,1,FALSE))=TRUE,IF(AND(ISERROR(FIND("NeighMkt",$CX$102))=FALSE,LEFT($CW$111,10)="ALL OUTLET",$CA205&lt;&gt;"",DK205&lt;&gt;""),"",IF(AND($CV205&lt;&gt;$CW205,$CW205=CD$110),$DK205,"")),"")</f>
      </c>
      <c s="76">
        <f>IF(ISERROR(VLOOKUP(CV205,$AL$8:$AL$15,1,FALSE))=TRUE,IF(CD205&lt;&gt;"",IF(CD205&gt;0,RANK(CD205,$CD$111:$CD$300),""),""),"")</f>
      </c>
      <c s="75">
        <f>IF(ISERROR(VLOOKUP(CV205,$AL$8:$AL$15,1,FALSE))=TRUE,IF(AND(ISERROR(FIND("NeighMkt",$CX$102))=FALSE,LEFT($CW$111,10)="ALL OUTLET",$CA205&lt;&gt;"",DK205&lt;&gt;""),"",IF(AND($CV205&lt;&gt;$CW205,$CW205=CF$110),$DK205,"")),"")</f>
      </c>
      <c s="76">
        <f>IF(ISERROR(VLOOKUP(CV205,$AL$8:$AL$15,1,FALSE))=TRUE,IF(CF205&lt;&gt;"",IF(CF205&gt;0,RANK(CF205,$CF$111:$CF$300),""),""),"")</f>
      </c>
      <c s="75">
        <f>IF(ISERROR(VLOOKUP(CV205,$AL$8:$AL$15,1,FALSE))=TRUE,IF(AND(ISERROR(FIND("NeighMkt",$CX$102))=FALSE,LEFT($CW$111,10)="ALL OUTLET",$CA205&lt;&gt;"",DK205&lt;&gt;""),"",IF(AND($CV205&lt;&gt;$CW205,$CW205=CH$110),$DK205,"")),"")</f>
      </c>
      <c s="76">
        <f>IF(ISERROR(VLOOKUP(CV205,$AL$8:$AL$15,1,FALSE))=TRUE,IF(CH205&lt;&gt;"",IF(CH205&gt;0,RANK(CH205,$CH$111:$CH$300),""),""),"")</f>
      </c>
      <c s="75">
        <f>IF(ISERROR(VLOOKUP(CV205,$AL$8:$AL$15,1,FALSE))=TRUE,IF(AND(ISERROR(FIND("NeighMkt",$CX$102))=FALSE,LEFT($CW$111,10)="ALL OUTLET",$CA205&lt;&gt;"",DK205&lt;&gt;""),"",IF($Z$4="",IF(AND($CV205&lt;&gt;$CW205,$CW205=CJ$110),$DK205,""),IF(AND($CV205&lt;&gt;$CW205,$CW205&lt;&gt;CD$110,$CW205&lt;&gt;CF$110,$CW205&lt;&gt;CH$110,$CW205&lt;&gt;$CV$111),$DK205,""))),"")</f>
      </c>
      <c s="76">
        <f>IF(ISERROR(VLOOKUP(CV205,$AL$8:$AL$15,1,FALSE))=TRUE,IF(CJ205&lt;&gt;"",IF(CJ205&gt;0,RANK(CJ205,$CJ$111:$CJ$300),""),""),"")</f>
      </c>
      <c s="75">
        <f>IF(ISERROR(VLOOKUP(CV205,$AL$8:$AL$15,1,FALSE))=TRUE,IF(AND(CV205=CW205,CV205&lt;&gt;"",DJ205&lt;&gt;""),IF(AND(ISERROR(FIND("NeighMkt",$CX$102))=FALSE,LEFT($CW$111,10)="ALL OUTLET"),DJ205-IF(ISERROR(VLOOKUP(CV205,$CA$113:$DK$300,36,FALSE))=TRUE,0,IF(VLOOKUP(CV205,$CA$113:$DK$300,36,FALSE)="",0,VLOOKUP(CV205,$CA$113:$DK$300,36,FALSE))),DJ205),""),"")</f>
      </c>
      <c s="76">
        <f>IF(ISERROR(VLOOKUP(CV205,$AL$8:$AL$15,1,FALSE))=TRUE,IF(CL205&lt;&gt;"",IF(CL205&gt;0,IF($Z$4&lt;&gt;"",MIN(4,RANK(CL205,$CL$111:$CL$300)),RANK(CL205,$CL$111:$CL$300)),""),""),"")</f>
      </c>
      <c s="75">
        <f>IF(ISERROR(VLOOKUP(CV205,$AL$8:$AL$15,1,FALSE))=TRUE,IF(AND(ISERROR(FIND("NeighMkt",$CX$102))=FALSE,LEFT($CW$111,10)="ALL OUTLET",$CA205&lt;&gt;"",DJ205&lt;&gt;""),"",IF(AND($CV205&lt;&gt;$CW205,$CW205=CN$110),$DJ205,"")),"")</f>
      </c>
      <c s="76">
        <f>IF(ISERROR(VLOOKUP(CV205,$AL$8:$AL$15,1,FALSE))=TRUE,IF(CN205&lt;&gt;"",IF(CN205&gt;0,RANK(CN205,$CN$111:$CN$300),""),""),"")</f>
      </c>
      <c s="75">
        <f>IF(ISERROR(VLOOKUP(CV205,$AL$8:$AL$15,1,FALSE))=TRUE,IF(AND(ISERROR(FIND("NeighMkt",$CX$102))=FALSE,LEFT($CW$111,10)="ALL OUTLET",$CA205&lt;&gt;"",DJ205&lt;&gt;""),"",IF(AND($CV205&lt;&gt;$CW205,$CW205=CP$110),$DJ205,"")),"")</f>
      </c>
      <c s="76">
        <f>IF(ISERROR(VLOOKUP(CV205,$AL$8:$AL$15,1,FALSE))=TRUE,IF(CP205&lt;&gt;"",IF(CP205&gt;0,RANK(CP205,$CP$111:$CP$300),""),""),"")</f>
      </c>
      <c s="75">
        <f>IF(ISERROR(VLOOKUP(CV205,$AL$8:$AL$15,1,FALSE))=TRUE,IF(AND(ISERROR(FIND("NeighMkt",$CX$102))=FALSE,LEFT($CW$111,10)="ALL OUTLET",$CA205&lt;&gt;"",DJ205&lt;&gt;""),"",IF(AND($CV205&lt;&gt;$CW205,$CW205=CR$110),$DJ205,"")),"")</f>
      </c>
      <c s="76">
        <f>IF(ISERROR(VLOOKUP(CV205,$AL$8:$AL$15,1,FALSE))=TRUE,IF(CR205&lt;&gt;"",IF(CR205&gt;0,RANK(CR205,$CR$111:$CR$300),""),""),"")</f>
      </c>
      <c s="75">
        <f>IF(ISERROR(VLOOKUP(CV205,$AL$8:$AL$15,1,FALSE))=TRUE,IF(AND(ISERROR(FIND("NeighMkt",$CX$102))=FALSE,LEFT($CW$111,10)="ALL OUTLET",$CA205&lt;&gt;"",DJ205&lt;&gt;""),"",IF($Z$4="",IF(AND($CV205&lt;&gt;$CW205,$CW205=CT$110),$DJ205,""),IF(AND($CV205&lt;&gt;$CW205,$CW205&lt;&gt;CN$110,$CW205&lt;&gt;CP$110,$CW205&lt;&gt;CR$110,$CW205&lt;&gt;$CV$111),$DJ205,""))),"")</f>
        <v>1029024.7645874</v>
      </c>
      <c s="76">
        <f>IF(ISERROR(VLOOKUP(CV205,$AL$8:$AL$15,1,FALSE))=TRUE,IF(CT205&lt;&gt;"",IF(CT205&gt;0,RANK(CT205,$CT$111:$CT$300),""),""),"")</f>
        <v>20</v>
      </c>
      <c s="65" t="str">
        <f t="shared" si="19"/>
        <v>Ace Hardware</v>
      </c>
      <c s="65" t="str">
        <f t="shared" si="20"/>
        <v>Hardware-Home</v>
      </c>
      <c s="72" t="str">
        <f>IF('[1]Leakage Tree Data'!A104&lt;&gt;"",'[1]Leakage Tree Data'!A104,"")</f>
        <v>Total US - Ace Hardware</v>
      </c>
      <c s="72" t="str">
        <f>IF('[1]Leakage Tree Data'!B104&lt;&gt;"",'[1]Leakage Tree Data'!B104,"")</f>
        <v>Total US - Hardware-Home</v>
      </c>
      <c s="72">
        <f>IF('[1]Leakage Tree Data'!C104&lt;&gt;"",'[1]Leakage Tree Data'!C104,"")</f>
        <v>121171760.292236</v>
      </c>
      <c s="72">
        <f>IF('[1]Leakage Tree Data'!D104&lt;&gt;"",'[1]Leakage Tree Data'!D104,"")</f>
        <v>15396562.1270752</v>
      </c>
      <c s="72">
        <f>IF('[1]Leakage Tree Data'!E104&lt;&gt;"",'[1]Leakage Tree Data'!E104,"")</f>
        <v>12.7063946995096</v>
      </c>
      <c s="72">
        <f>IF('[1]Leakage Tree Data'!F104&lt;&gt;"",'[1]Leakage Tree Data'!F104,"")</f>
        <v>105775198.165161</v>
      </c>
      <c s="72">
        <f>IF('[1]Leakage Tree Data'!G104&lt;&gt;"",'[1]Leakage Tree Data'!G104,"")</f>
        <v>87.2936053004904</v>
      </c>
      <c s="72">
        <f>IF('[1]Leakage Tree Data'!H104&lt;&gt;"",'[1]Leakage Tree Data'!H104,"")</f>
        <v>61518209.9918823</v>
      </c>
      <c s="72" t="str">
        <f>IF('[1]Leakage Tree Data'!I104&lt;&gt;"",'[1]Leakage Tree Data'!I104,"")</f>
        <v>Hardware-Home</v>
      </c>
      <c s="72">
        <f>IF('[1]Leakage Tree Data'!J104&lt;&gt;"",'[1]Leakage Tree Data'!J104,"")</f>
        <v>99.5873236846311</v>
      </c>
      <c s="72">
        <f>IF('[1]Leakage Tree Data'!K104&lt;&gt;"",'[1]Leakage Tree Data'!K104,"")</f>
        <v>253871.082275391</v>
      </c>
      <c s="72">
        <f>IF('[1]Leakage Tree Data'!L104&lt;&gt;"",'[1]Leakage Tree Data'!L104,"")</f>
      </c>
      <c s="72">
        <f>IF('[1]Leakage Tree Data'!M104&lt;&gt;"",'[1]Leakage Tree Data'!M104,"")</f>
        <v>1029024.7645874</v>
      </c>
      <c s="72">
        <f>IF('[1]Leakage Tree Data'!N104&lt;&gt;"",'[1]Leakage Tree Data'!N104,"")</f>
      </c>
      <c s="72">
        <f>IF('[1]Leakage Tree Data'!O104&lt;&gt;"",'[1]Leakage Tree Data'!O104,"")</f>
        <v>3.08385387761947</v>
      </c>
      <c s="72">
        <f>IF('[1]Leakage Tree Data'!P104&lt;&gt;"",'[1]Leakage Tree Data'!P104,"")</f>
        <v>855854.507781474</v>
      </c>
      <c s="72">
        <f>IF('[1]Leakage Tree Data'!Q104&lt;&gt;"",'[1]Leakage Tree Data'!Q104,"")</f>
      </c>
      <c s="72">
        <f>IF('[1]Leakage Tree Data'!R104&lt;&gt;"",'[1]Leakage Tree Data'!R104,"")</f>
        <v>1017625.85098267</v>
      </c>
      <c s="72">
        <f>IF('[1]Leakage Tree Data'!S104&lt;&gt;"",'[1]Leakage Tree Data'!S104,"")</f>
        <v>-297950.418487549</v>
      </c>
      <c s="72">
        <f>IF('[1]Leakage Tree Data'!T104&lt;&gt;"",'[1]Leakage Tree Data'!T104,"")</f>
        <v>-0.355588243104982</v>
      </c>
      <c s="72">
        <f>IF('[1]Leakage Tree Data'!U104&lt;&gt;"",'[1]Leakage Tree Data'!U104,"")</f>
        <v>1315576.26947021</v>
      </c>
      <c s="72">
        <f>IF('[1]Leakage Tree Data'!V104&lt;&gt;"",'[1]Leakage Tree Data'!V104,"")</f>
        <v>0.355588243104975</v>
      </c>
      <c s="72">
        <f>IF('[1]Leakage Tree Data'!W104&lt;&gt;"",'[1]Leakage Tree Data'!W104,"")</f>
        <v>-1855949.2237854</v>
      </c>
      <c s="72">
        <f>IF('[1]Leakage Tree Data'!X104&lt;&gt;"",'[1]Leakage Tree Data'!X104,"")</f>
      </c>
      <c s="72">
        <f>IF('[1]Leakage Tree Data'!Y104&lt;&gt;"",'[1]Leakage Tree Data'!Y104,"")</f>
        <v>0.100485521565361</v>
      </c>
      <c s="72">
        <f>IF('[1]Leakage Tree Data'!Z104&lt;&gt;"",'[1]Leakage Tree Data'!Z104,"")</f>
        <v>-71340.9172973633</v>
      </c>
      <c s="72">
        <f>IF('[1]Leakage Tree Data'!AA104&lt;&gt;"",'[1]Leakage Tree Data'!AA104,"")</f>
      </c>
      <c s="72">
        <f>IF('[1]Leakage Tree Data'!AB104&lt;&gt;"",'[1]Leakage Tree Data'!AB104,"")</f>
        <v>-571931.521583557</v>
      </c>
      <c s="72">
        <f>IF('[1]Leakage Tree Data'!AC104&lt;&gt;"",'[1]Leakage Tree Data'!AC104,"")</f>
      </c>
      <c s="72">
        <f>IF('[1]Leakage Tree Data'!AD104&lt;&gt;"",'[1]Leakage Tree Data'!AD104,"")</f>
        <v>-0.614259892658619</v>
      </c>
      <c s="72">
        <f>IF('[1]Leakage Tree Data'!AE104&lt;&gt;"",'[1]Leakage Tree Data'!AE104,"")</f>
      </c>
      <c s="73">
        <f t="shared" si="21"/>
      </c>
      <c s="73">
        <f t="shared" si="22"/>
      </c>
      <c s="73">
        <f t="shared" si="23"/>
      </c>
      <c s="73">
        <f t="shared" si="24"/>
      </c>
      <c s="74">
        <f t="shared" si="25"/>
      </c>
      <c s="74">
        <f t="shared" si="26"/>
      </c>
      <c s="69" t="str">
        <f t="shared" si="17"/>
        <v>Total US - Ace Hardware</v>
      </c>
      <c s="69" t="str">
        <f t="shared" si="18"/>
        <v>Total US - Hardware-Home</v>
      </c>
      <c s="77"/>
    </row>
    <row r="206" spans="1:141" ht="15">
      <c r="A20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206,$AL$8:$AL$15,1,FALSE))=TRUE,IF(AND(CV206=CW206,CV206&lt;&gt;"",DI$111&lt;&gt;"",DK206&lt;&gt;""),IF(CW$101="Y",DK206-IF(ISERROR(VLOOKUP(CV206,$CA$113:$DK$300,37,FALSE))=TRUE,0,IF(VLOOKUP(CV206,$CA$113:$DK$300,37,FALSE)="",0,VLOOKUP(CV206,$CA$113:$DK$300,37,FALSE))),DK206-IF(AND(CW$102="Y",CV206=$CW$111),DI$111,0)),""),"")</f>
      </c>
      <c s="76">
        <f>IF(ISERROR(VLOOKUP(CV206,$AL$8:$AL$15,1,FALSE))=TRUE,IF(CB206&lt;&gt;"",IF(CB206&gt;0,IF(Z$4&lt;&gt;"",MIN(4,RANK(CB206,$CB$111:$CB$300)),RANK(CB206,$CB$111:$CB$300)),""),""),"")</f>
      </c>
      <c s="75">
        <f>IF(ISERROR(VLOOKUP(CV206,$AL$8:$AL$15,1,FALSE))=TRUE,IF(AND(ISERROR(FIND("NeighMkt",$CX$102))=FALSE,LEFT($CW$111,10)="ALL OUTLET",$CA206&lt;&gt;"",DK206&lt;&gt;""),"",IF(AND($CV206&lt;&gt;$CW206,$CW206=CD$110),$DK206,"")),"")</f>
      </c>
      <c s="76">
        <f>IF(ISERROR(VLOOKUP(CV206,$AL$8:$AL$15,1,FALSE))=TRUE,IF(CD206&lt;&gt;"",IF(CD206&gt;0,RANK(CD206,$CD$111:$CD$300),""),""),"")</f>
      </c>
      <c s="75">
        <f>IF(ISERROR(VLOOKUP(CV206,$AL$8:$AL$15,1,FALSE))=TRUE,IF(AND(ISERROR(FIND("NeighMkt",$CX$102))=FALSE,LEFT($CW$111,10)="ALL OUTLET",$CA206&lt;&gt;"",DK206&lt;&gt;""),"",IF(AND($CV206&lt;&gt;$CW206,$CW206=CF$110),$DK206,"")),"")</f>
      </c>
      <c s="76">
        <f>IF(ISERROR(VLOOKUP(CV206,$AL$8:$AL$15,1,FALSE))=TRUE,IF(CF206&lt;&gt;"",IF(CF206&gt;0,RANK(CF206,$CF$111:$CF$300),""),""),"")</f>
      </c>
      <c s="75">
        <f>IF(ISERROR(VLOOKUP(CV206,$AL$8:$AL$15,1,FALSE))=TRUE,IF(AND(ISERROR(FIND("NeighMkt",$CX$102))=FALSE,LEFT($CW$111,10)="ALL OUTLET",$CA206&lt;&gt;"",DK206&lt;&gt;""),"",IF(AND($CV206&lt;&gt;$CW206,$CW206=CH$110),$DK206,"")),"")</f>
      </c>
      <c s="76">
        <f>IF(ISERROR(VLOOKUP(CV206,$AL$8:$AL$15,1,FALSE))=TRUE,IF(CH206&lt;&gt;"",IF(CH206&gt;0,RANK(CH206,$CH$111:$CH$300),""),""),"")</f>
      </c>
      <c s="75">
        <f>IF(ISERROR(VLOOKUP(CV206,$AL$8:$AL$15,1,FALSE))=TRUE,IF(AND(ISERROR(FIND("NeighMkt",$CX$102))=FALSE,LEFT($CW$111,10)="ALL OUTLET",$CA206&lt;&gt;"",DK206&lt;&gt;""),"",IF($Z$4="",IF(AND($CV206&lt;&gt;$CW206,$CW206=CJ$110),$DK206,""),IF(AND($CV206&lt;&gt;$CW206,$CW206&lt;&gt;CD$110,$CW206&lt;&gt;CF$110,$CW206&lt;&gt;CH$110,$CW206&lt;&gt;$CV$111),$DK206,""))),"")</f>
        <v>1979261.69593811</v>
      </c>
      <c s="76">
        <f>IF(ISERROR(VLOOKUP(CV206,$AL$8:$AL$15,1,FALSE))=TRUE,IF(CJ206&lt;&gt;"",IF(CJ206&gt;0,RANK(CJ206,$CJ$111:$CJ$300),""),""),"")</f>
        <v>12</v>
      </c>
      <c s="75">
        <f>IF(ISERROR(VLOOKUP(CV206,$AL$8:$AL$15,1,FALSE))=TRUE,IF(AND(CV206=CW206,CV206&lt;&gt;"",DJ206&lt;&gt;""),IF(AND(ISERROR(FIND("NeighMkt",$CX$102))=FALSE,LEFT($CW$111,10)="ALL OUTLET"),DJ206-IF(ISERROR(VLOOKUP(CV206,$CA$113:$DK$300,36,FALSE))=TRUE,0,IF(VLOOKUP(CV206,$CA$113:$DK$300,36,FALSE)="",0,VLOOKUP(CV206,$CA$113:$DK$300,36,FALSE))),DJ206),""),"")</f>
      </c>
      <c s="76">
        <f>IF(ISERROR(VLOOKUP(CV206,$AL$8:$AL$15,1,FALSE))=TRUE,IF(CL206&lt;&gt;"",IF(CL206&gt;0,IF($Z$4&lt;&gt;"",MIN(4,RANK(CL206,$CL$111:$CL$300)),RANK(CL206,$CL$111:$CL$300)),""),""),"")</f>
      </c>
      <c s="75">
        <f>IF(ISERROR(VLOOKUP(CV206,$AL$8:$AL$15,1,FALSE))=TRUE,IF(AND(ISERROR(FIND("NeighMkt",$CX$102))=FALSE,LEFT($CW$111,10)="ALL OUTLET",$CA206&lt;&gt;"",DJ206&lt;&gt;""),"",IF(AND($CV206&lt;&gt;$CW206,$CW206=CN$110),$DJ206,"")),"")</f>
      </c>
      <c s="76">
        <f>IF(ISERROR(VLOOKUP(CV206,$AL$8:$AL$15,1,FALSE))=TRUE,IF(CN206&lt;&gt;"",IF(CN206&gt;0,RANK(CN206,$CN$111:$CN$300),""),""),"")</f>
      </c>
      <c s="75">
        <f>IF(ISERROR(VLOOKUP(CV206,$AL$8:$AL$15,1,FALSE))=TRUE,IF(AND(ISERROR(FIND("NeighMkt",$CX$102))=FALSE,LEFT($CW$111,10)="ALL OUTLET",$CA206&lt;&gt;"",DJ206&lt;&gt;""),"",IF(AND($CV206&lt;&gt;$CW206,$CW206=CP$110),$DJ206,"")),"")</f>
      </c>
      <c s="76">
        <f>IF(ISERROR(VLOOKUP(CV206,$AL$8:$AL$15,1,FALSE))=TRUE,IF(CP206&lt;&gt;"",IF(CP206&gt;0,RANK(CP206,$CP$111:$CP$300),""),""),"")</f>
      </c>
      <c s="75">
        <f>IF(ISERROR(VLOOKUP(CV206,$AL$8:$AL$15,1,FALSE))=TRUE,IF(AND(ISERROR(FIND("NeighMkt",$CX$102))=FALSE,LEFT($CW$111,10)="ALL OUTLET",$CA206&lt;&gt;"",DJ206&lt;&gt;""),"",IF(AND($CV206&lt;&gt;$CW206,$CW206=CR$110),$DJ206,"")),"")</f>
      </c>
      <c s="76">
        <f>IF(ISERROR(VLOOKUP(CV206,$AL$8:$AL$15,1,FALSE))=TRUE,IF(CR206&lt;&gt;"",IF(CR206&gt;0,RANK(CR206,$CR$111:$CR$300),""),""),"")</f>
      </c>
      <c s="75">
        <f>IF(ISERROR(VLOOKUP(CV206,$AL$8:$AL$15,1,FALSE))=TRUE,IF(AND(ISERROR(FIND("NeighMkt",$CX$102))=FALSE,LEFT($CW$111,10)="ALL OUTLET",$CA206&lt;&gt;"",DJ206&lt;&gt;""),"",IF($Z$4="",IF(AND($CV206&lt;&gt;$CW206,$CW206=CT$110),$DJ206,""),IF(AND($CV206&lt;&gt;$CW206,$CW206&lt;&gt;CN$110,$CW206&lt;&gt;CP$110,$CW206&lt;&gt;CR$110,$CW206&lt;&gt;$CV$111),$DJ206,""))),"")</f>
        <v>5663633.81907463</v>
      </c>
      <c s="76">
        <f>IF(ISERROR(VLOOKUP(CV206,$AL$8:$AL$15,1,FALSE))=TRUE,IF(CT206&lt;&gt;"",IF(CT206&gt;0,RANK(CT206,$CT$111:$CT$300),""),""),"")</f>
        <v>12</v>
      </c>
      <c s="65" t="str">
        <f t="shared" si="19"/>
        <v>Home Depot</v>
      </c>
      <c s="65" t="str">
        <f t="shared" si="20"/>
        <v>Hardware-Home</v>
      </c>
      <c s="72" t="str">
        <f>IF('[1]Leakage Tree Data'!A105&lt;&gt;"",'[1]Leakage Tree Data'!A105,"")</f>
        <v>Total US - Home Depot</v>
      </c>
      <c s="72" t="str">
        <f>IF('[1]Leakage Tree Data'!B105&lt;&gt;"",'[1]Leakage Tree Data'!B105,"")</f>
        <v>Total US - Hardware-Home</v>
      </c>
      <c s="72">
        <f>IF('[1]Leakage Tree Data'!C105&lt;&gt;"",'[1]Leakage Tree Data'!C105,"")</f>
        <v>121171760.292236</v>
      </c>
      <c s="72">
        <f>IF('[1]Leakage Tree Data'!D105&lt;&gt;"",'[1]Leakage Tree Data'!D105,"")</f>
        <v>45576593.6126099</v>
      </c>
      <c s="72">
        <f>IF('[1]Leakage Tree Data'!E105&lt;&gt;"",'[1]Leakage Tree Data'!E105,"")</f>
        <v>37.6132140877465</v>
      </c>
      <c s="72">
        <f>IF('[1]Leakage Tree Data'!F105&lt;&gt;"",'[1]Leakage Tree Data'!F105,"")</f>
        <v>75595166.6796265</v>
      </c>
      <c s="72">
        <f>IF('[1]Leakage Tree Data'!G105&lt;&gt;"",'[1]Leakage Tree Data'!G105,"")</f>
        <v>62.3867859122535</v>
      </c>
      <c s="72">
        <f>IF('[1]Leakage Tree Data'!H105&lt;&gt;"",'[1]Leakage Tree Data'!H105,"")</f>
        <v>61518209.9918823</v>
      </c>
      <c s="72" t="str">
        <f>IF('[1]Leakage Tree Data'!I105&lt;&gt;"",'[1]Leakage Tree Data'!I105,"")</f>
        <v>Hardware-Home</v>
      </c>
      <c s="72">
        <f>IF('[1]Leakage Tree Data'!J105&lt;&gt;"",'[1]Leakage Tree Data'!J105,"")</f>
        <v>98.807977291809</v>
      </c>
      <c s="72">
        <f>IF('[1]Leakage Tree Data'!K105&lt;&gt;"",'[1]Leakage Tree Data'!K105,"")</f>
        <v>733311.032775879</v>
      </c>
      <c s="72">
        <f>IF('[1]Leakage Tree Data'!L105&lt;&gt;"",'[1]Leakage Tree Data'!L105,"")</f>
        <v>1979261.69593811</v>
      </c>
      <c s="72">
        <f>IF('[1]Leakage Tree Data'!M105&lt;&gt;"",'[1]Leakage Tree Data'!M105,"")</f>
        <v>5663633.81907463</v>
      </c>
      <c s="72">
        <f>IF('[1]Leakage Tree Data'!N105&lt;&gt;"",'[1]Leakage Tree Data'!N105,"")</f>
        <v>1979261.69593811</v>
      </c>
      <c s="72">
        <f>IF('[1]Leakage Tree Data'!O105&lt;&gt;"",'[1]Leakage Tree Data'!O105,"")</f>
        <v>2.55110578920747</v>
      </c>
      <c s="72">
        <f>IF('[1]Leakage Tree Data'!P105&lt;&gt;"",'[1]Leakage Tree Data'!P105,"")</f>
        <v>6549883.8264454</v>
      </c>
      <c s="72">
        <f>IF('[1]Leakage Tree Data'!Q105&lt;&gt;"",'[1]Leakage Tree Data'!Q105,"")</f>
      </c>
      <c s="72">
        <f>IF('[1]Leakage Tree Data'!R105&lt;&gt;"",'[1]Leakage Tree Data'!R105,"")</f>
        <v>1017625.85098267</v>
      </c>
      <c s="72">
        <f>IF('[1]Leakage Tree Data'!S105&lt;&gt;"",'[1]Leakage Tree Data'!S105,"")</f>
        <v>-274538.203643799</v>
      </c>
      <c s="72">
        <f>IF('[1]Leakage Tree Data'!T105&lt;&gt;"",'[1]Leakage Tree Data'!T105,"")</f>
        <v>-0.547047337690685</v>
      </c>
      <c s="72">
        <f>IF('[1]Leakage Tree Data'!U105&lt;&gt;"",'[1]Leakage Tree Data'!U105,"")</f>
        <v>1292164.05462646</v>
      </c>
      <c s="72">
        <f>IF('[1]Leakage Tree Data'!V105&lt;&gt;"",'[1]Leakage Tree Data'!V105,"")</f>
        <v>0.547047337690685</v>
      </c>
      <c s="72">
        <f>IF('[1]Leakage Tree Data'!W105&lt;&gt;"",'[1]Leakage Tree Data'!W105,"")</f>
        <v>-1855949.2237854</v>
      </c>
      <c s="72">
        <f>IF('[1]Leakage Tree Data'!X105&lt;&gt;"",'[1]Leakage Tree Data'!X105,"")</f>
      </c>
      <c s="72">
        <f>IF('[1]Leakage Tree Data'!Y105&lt;&gt;"",'[1]Leakage Tree Data'!Y105,"")</f>
        <v>-0.343755049326063</v>
      </c>
      <c s="72">
        <f>IF('[1]Leakage Tree Data'!Z105&lt;&gt;"",'[1]Leakage Tree Data'!Z105,"")</f>
        <v>195728.536071777</v>
      </c>
      <c s="72">
        <f>IF('[1]Leakage Tree Data'!AA105&lt;&gt;"",'[1]Leakage Tree Data'!AA105,"")</f>
        <v>123262.731887817</v>
      </c>
      <c s="72">
        <f>IF('[1]Leakage Tree Data'!AB105&lt;&gt;"",'[1]Leakage Tree Data'!AB105,"")</f>
        <v>1956555.66691399</v>
      </c>
      <c s="72">
        <f>IF('[1]Leakage Tree Data'!AC105&lt;&gt;"",'[1]Leakage Tree Data'!AC105,"")</f>
        <v>123262.731887817</v>
      </c>
      <c s="72">
        <f>IF('[1]Leakage Tree Data'!AD105&lt;&gt;"",'[1]Leakage Tree Data'!AD105,"")</f>
        <v>0.539993539009</v>
      </c>
      <c s="72">
        <f>IF('[1]Leakage Tree Data'!AE105&lt;&gt;"",'[1]Leakage Tree Data'!AE105,"")</f>
      </c>
      <c s="73">
        <f t="shared" si="21"/>
      </c>
      <c s="73">
        <f t="shared" si="22"/>
      </c>
      <c s="73">
        <f t="shared" si="23"/>
      </c>
      <c s="73">
        <f t="shared" si="24"/>
      </c>
      <c s="74">
        <f t="shared" si="25"/>
      </c>
      <c s="74">
        <f t="shared" si="26"/>
      </c>
      <c s="69" t="str">
        <f t="shared" si="17"/>
        <v>Total US - Home Depot</v>
      </c>
      <c s="69" t="str">
        <f t="shared" si="18"/>
        <v>Total US - Hardware-Home</v>
      </c>
      <c s="77"/>
    </row>
    <row r="207" spans="1:141" ht="15">
      <c r="A20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207,$AL$8:$AL$15,1,FALSE))=TRUE,IF(AND(CV207=CW207,CV207&lt;&gt;"",DI$111&lt;&gt;"",DK207&lt;&gt;""),IF(CW$101="Y",DK207-IF(ISERROR(VLOOKUP(CV207,$CA$113:$DK$300,37,FALSE))=TRUE,0,IF(VLOOKUP(CV207,$CA$113:$DK$300,37,FALSE)="",0,VLOOKUP(CV207,$CA$113:$DK$300,37,FALSE))),DK207-IF(AND(CW$102="Y",CV207=$CW$111),DI$111,0)),""),"")</f>
      </c>
      <c s="76">
        <f>IF(ISERROR(VLOOKUP(CV207,$AL$8:$AL$15,1,FALSE))=TRUE,IF(CB207&lt;&gt;"",IF(CB207&gt;0,IF(Z$4&lt;&gt;"",MIN(4,RANK(CB207,$CB$111:$CB$300)),RANK(CB207,$CB$111:$CB$300)),""),""),"")</f>
      </c>
      <c s="75">
        <f>IF(ISERROR(VLOOKUP(CV207,$AL$8:$AL$15,1,FALSE))=TRUE,IF(AND(ISERROR(FIND("NeighMkt",$CX$102))=FALSE,LEFT($CW$111,10)="ALL OUTLET",$CA207&lt;&gt;"",DK207&lt;&gt;""),"",IF(AND($CV207&lt;&gt;$CW207,$CW207=CD$110),$DK207,"")),"")</f>
      </c>
      <c s="76">
        <f>IF(ISERROR(VLOOKUP(CV207,$AL$8:$AL$15,1,FALSE))=TRUE,IF(CD207&lt;&gt;"",IF(CD207&gt;0,RANK(CD207,$CD$111:$CD$300),""),""),"")</f>
      </c>
      <c s="75">
        <f>IF(ISERROR(VLOOKUP(CV207,$AL$8:$AL$15,1,FALSE))=TRUE,IF(AND(ISERROR(FIND("NeighMkt",$CX$102))=FALSE,LEFT($CW$111,10)="ALL OUTLET",$CA207&lt;&gt;"",DK207&lt;&gt;""),"",IF(AND($CV207&lt;&gt;$CW207,$CW207=CF$110),$DK207,"")),"")</f>
      </c>
      <c s="76">
        <f>IF(ISERROR(VLOOKUP(CV207,$AL$8:$AL$15,1,FALSE))=TRUE,IF(CF207&lt;&gt;"",IF(CF207&gt;0,RANK(CF207,$CF$111:$CF$300),""),""),"")</f>
      </c>
      <c s="75">
        <f>IF(ISERROR(VLOOKUP(CV207,$AL$8:$AL$15,1,FALSE))=TRUE,IF(AND(ISERROR(FIND("NeighMkt",$CX$102))=FALSE,LEFT($CW$111,10)="ALL OUTLET",$CA207&lt;&gt;"",DK207&lt;&gt;""),"",IF(AND($CV207&lt;&gt;$CW207,$CW207=CH$110),$DK207,"")),"")</f>
      </c>
      <c s="76">
        <f>IF(ISERROR(VLOOKUP(CV207,$AL$8:$AL$15,1,FALSE))=TRUE,IF(CH207&lt;&gt;"",IF(CH207&gt;0,RANK(CH207,$CH$111:$CH$300),""),""),"")</f>
      </c>
      <c s="75">
        <f>IF(ISERROR(VLOOKUP(CV207,$AL$8:$AL$15,1,FALSE))=TRUE,IF(AND(ISERROR(FIND("NeighMkt",$CX$102))=FALSE,LEFT($CW$111,10)="ALL OUTLET",$CA207&lt;&gt;"",DK207&lt;&gt;""),"",IF($Z$4="",IF(AND($CV207&lt;&gt;$CW207,$CW207=CJ$110),$DK207,""),IF(AND($CV207&lt;&gt;$CW207,$CW207&lt;&gt;CD$110,$CW207&lt;&gt;CF$110,$CW207&lt;&gt;CH$110,$CW207&lt;&gt;$CV$111),$DK207,""))),"")</f>
        <v>1673503.15367126</v>
      </c>
      <c s="76">
        <f>IF(ISERROR(VLOOKUP(CV207,$AL$8:$AL$15,1,FALSE))=TRUE,IF(CJ207&lt;&gt;"",IF(CJ207&gt;0,RANK(CJ207,$CJ$111:$CJ$300),""),""),"")</f>
        <v>13</v>
      </c>
      <c s="75">
        <f>IF(ISERROR(VLOOKUP(CV207,$AL$8:$AL$15,1,FALSE))=TRUE,IF(AND(CV207=CW207,CV207&lt;&gt;"",DJ207&lt;&gt;""),IF(AND(ISERROR(FIND("NeighMkt",$CX$102))=FALSE,LEFT($CW$111,10)="ALL OUTLET"),DJ207-IF(ISERROR(VLOOKUP(CV207,$CA$113:$DK$300,36,FALSE))=TRUE,0,IF(VLOOKUP(CV207,$CA$113:$DK$300,36,FALSE)="",0,VLOOKUP(CV207,$CA$113:$DK$300,36,FALSE))),DJ207),""),"")</f>
      </c>
      <c s="76">
        <f>IF(ISERROR(VLOOKUP(CV207,$AL$8:$AL$15,1,FALSE))=TRUE,IF(CL207&lt;&gt;"",IF(CL207&gt;0,IF($Z$4&lt;&gt;"",MIN(4,RANK(CL207,$CL$111:$CL$300)),RANK(CL207,$CL$111:$CL$300)),""),""),"")</f>
      </c>
      <c s="75">
        <f>IF(ISERROR(VLOOKUP(CV207,$AL$8:$AL$15,1,FALSE))=TRUE,IF(AND(ISERROR(FIND("NeighMkt",$CX$102))=FALSE,LEFT($CW$111,10)="ALL OUTLET",$CA207&lt;&gt;"",DJ207&lt;&gt;""),"",IF(AND($CV207&lt;&gt;$CW207,$CW207=CN$110),$DJ207,"")),"")</f>
      </c>
      <c s="76">
        <f>IF(ISERROR(VLOOKUP(CV207,$AL$8:$AL$15,1,FALSE))=TRUE,IF(CN207&lt;&gt;"",IF(CN207&gt;0,RANK(CN207,$CN$111:$CN$300),""),""),"")</f>
      </c>
      <c s="75">
        <f>IF(ISERROR(VLOOKUP(CV207,$AL$8:$AL$15,1,FALSE))=TRUE,IF(AND(ISERROR(FIND("NeighMkt",$CX$102))=FALSE,LEFT($CW$111,10)="ALL OUTLET",$CA207&lt;&gt;"",DJ207&lt;&gt;""),"",IF(AND($CV207&lt;&gt;$CW207,$CW207=CP$110),$DJ207,"")),"")</f>
      </c>
      <c s="76">
        <f>IF(ISERROR(VLOOKUP(CV207,$AL$8:$AL$15,1,FALSE))=TRUE,IF(CP207&lt;&gt;"",IF(CP207&gt;0,RANK(CP207,$CP$111:$CP$300),""),""),"")</f>
      </c>
      <c s="75">
        <f>IF(ISERROR(VLOOKUP(CV207,$AL$8:$AL$15,1,FALSE))=TRUE,IF(AND(ISERROR(FIND("NeighMkt",$CX$102))=FALSE,LEFT($CW$111,10)="ALL OUTLET",$CA207&lt;&gt;"",DJ207&lt;&gt;""),"",IF(AND($CV207&lt;&gt;$CW207,$CW207=CR$110),$DJ207,"")),"")</f>
      </c>
      <c s="76">
        <f>IF(ISERROR(VLOOKUP(CV207,$AL$8:$AL$15,1,FALSE))=TRUE,IF(CR207&lt;&gt;"",IF(CR207&gt;0,RANK(CR207,$CR$111:$CR$300),""),""),"")</f>
      </c>
      <c s="75">
        <f>IF(ISERROR(VLOOKUP(CV207,$AL$8:$AL$15,1,FALSE))=TRUE,IF(AND(ISERROR(FIND("NeighMkt",$CX$102))=FALSE,LEFT($CW$111,10)="ALL OUTLET",$CA207&lt;&gt;"",DJ207&lt;&gt;""),"",IF($Z$4="",IF(AND($CV207&lt;&gt;$CW207,$CW207=CT$110),$DJ207,""),IF(AND($CV207&lt;&gt;$CW207,$CW207&lt;&gt;CN$110,$CW207&lt;&gt;CP$110,$CW207&lt;&gt;CR$110,$CW207&lt;&gt;$CV$111),$DJ207,""))),"")</f>
        <v>2542336.95934296</v>
      </c>
      <c s="76">
        <f>IF(ISERROR(VLOOKUP(CV207,$AL$8:$AL$15,1,FALSE))=TRUE,IF(CT207&lt;&gt;"",IF(CT207&gt;0,RANK(CT207,$CT$111:$CT$300),""),""),"")</f>
        <v>15</v>
      </c>
      <c s="65" t="str">
        <f t="shared" si="19"/>
        <v>Lowes Home Improvement</v>
      </c>
      <c s="65" t="str">
        <f t="shared" si="20"/>
        <v>Hardware-Home</v>
      </c>
      <c s="72" t="str">
        <f>IF('[1]Leakage Tree Data'!A106&lt;&gt;"",'[1]Leakage Tree Data'!A106,"")</f>
        <v>Total US - Lowes Home Improvement</v>
      </c>
      <c s="72" t="str">
        <f>IF('[1]Leakage Tree Data'!B106&lt;&gt;"",'[1]Leakage Tree Data'!B106,"")</f>
        <v>Total US - Hardware-Home</v>
      </c>
      <c s="72">
        <f>IF('[1]Leakage Tree Data'!C106&lt;&gt;"",'[1]Leakage Tree Data'!C106,"")</f>
        <v>121171760.292236</v>
      </c>
      <c s="72">
        <f>IF('[1]Leakage Tree Data'!D106&lt;&gt;"",'[1]Leakage Tree Data'!D106,"")</f>
        <v>38686383.9416199</v>
      </c>
      <c s="72">
        <f>IF('[1]Leakage Tree Data'!E106&lt;&gt;"",'[1]Leakage Tree Data'!E106,"")</f>
        <v>31.9268976932562</v>
      </c>
      <c s="72">
        <f>IF('[1]Leakage Tree Data'!F106&lt;&gt;"",'[1]Leakage Tree Data'!F106,"")</f>
        <v>82485376.3506165</v>
      </c>
      <c s="72">
        <f>IF('[1]Leakage Tree Data'!G106&lt;&gt;"",'[1]Leakage Tree Data'!G106,"")</f>
        <v>68.0731023067438</v>
      </c>
      <c s="72">
        <f>IF('[1]Leakage Tree Data'!H106&lt;&gt;"",'[1]Leakage Tree Data'!H106,"")</f>
        <v>61518209.9918823</v>
      </c>
      <c s="72" t="str">
        <f>IF('[1]Leakage Tree Data'!I106&lt;&gt;"",'[1]Leakage Tree Data'!I106,"")</f>
        <v>Hardware-Home</v>
      </c>
      <c s="72">
        <f>IF('[1]Leakage Tree Data'!J106&lt;&gt;"",'[1]Leakage Tree Data'!J106,"")</f>
        <v>99.327897988837</v>
      </c>
      <c s="72">
        <f>IF('[1]Leakage Tree Data'!K106&lt;&gt;"",'[1]Leakage Tree Data'!K106,"")</f>
        <v>413465.126586914</v>
      </c>
      <c s="72">
        <f>IF('[1]Leakage Tree Data'!L106&lt;&gt;"",'[1]Leakage Tree Data'!L106,"")</f>
        <v>1673503.15367126</v>
      </c>
      <c s="72">
        <f>IF('[1]Leakage Tree Data'!M106&lt;&gt;"",'[1]Leakage Tree Data'!M106,"")</f>
        <v>2542336.95934296</v>
      </c>
      <c s="72">
        <f>IF('[1]Leakage Tree Data'!N106&lt;&gt;"",'[1]Leakage Tree Data'!N106,"")</f>
        <v>1673503.15367126</v>
      </c>
      <c s="72">
        <f>IF('[1]Leakage Tree Data'!O106&lt;&gt;"",'[1]Leakage Tree Data'!O106,"")</f>
        <v>1.82889238990917</v>
      </c>
      <c s="72">
        <f>IF('[1]Leakage Tree Data'!P106&lt;&gt;"",'[1]Leakage Tree Data'!P106,"")</f>
        <v>5126760.74157755</v>
      </c>
      <c s="72">
        <f>IF('[1]Leakage Tree Data'!Q106&lt;&gt;"",'[1]Leakage Tree Data'!Q106,"")</f>
      </c>
      <c s="72">
        <f>IF('[1]Leakage Tree Data'!R106&lt;&gt;"",'[1]Leakage Tree Data'!R106,"")</f>
        <v>1017625.85098267</v>
      </c>
      <c s="72">
        <f>IF('[1]Leakage Tree Data'!S106&lt;&gt;"",'[1]Leakage Tree Data'!S106,"")</f>
        <v>-1003041.82611084</v>
      </c>
      <c s="72">
        <f>IF('[1]Leakage Tree Data'!T106&lt;&gt;"",'[1]Leakage Tree Data'!T106,"")</f>
        <v>-1.10519558617724</v>
      </c>
      <c s="72">
        <f>IF('[1]Leakage Tree Data'!U106&lt;&gt;"",'[1]Leakage Tree Data'!U106,"")</f>
        <v>2020667.67709351</v>
      </c>
      <c s="72">
        <f>IF('[1]Leakage Tree Data'!V106&lt;&gt;"",'[1]Leakage Tree Data'!V106,"")</f>
        <v>1.10519558617723</v>
      </c>
      <c s="72">
        <f>IF('[1]Leakage Tree Data'!W106&lt;&gt;"",'[1]Leakage Tree Data'!W106,"")</f>
        <v>-1855949.2237854</v>
      </c>
      <c s="72">
        <f>IF('[1]Leakage Tree Data'!X106&lt;&gt;"",'[1]Leakage Tree Data'!X106,"")</f>
      </c>
      <c s="72">
        <f>IF('[1]Leakage Tree Data'!Y106&lt;&gt;"",'[1]Leakage Tree Data'!Y106,"")</f>
        <v>0.0408981564802389</v>
      </c>
      <c s="72">
        <f>IF('[1]Leakage Tree Data'!Z106&lt;&gt;"",'[1]Leakage Tree Data'!Z106,"")</f>
        <v>-38392.7348632813</v>
      </c>
      <c s="72">
        <f>IF('[1]Leakage Tree Data'!AA106&lt;&gt;"",'[1]Leakage Tree Data'!AA106,"")</f>
        <v>1038466.97286987</v>
      </c>
      <c s="72">
        <f>IF('[1]Leakage Tree Data'!AB106&lt;&gt;"",'[1]Leakage Tree Data'!AB106,"")</f>
        <v>40973.646812439</v>
      </c>
      <c s="72">
        <f>IF('[1]Leakage Tree Data'!AC106&lt;&gt;"",'[1]Leakage Tree Data'!AC106,"")</f>
        <v>1038466.97286987</v>
      </c>
      <c s="72">
        <f>IF('[1]Leakage Tree Data'!AD106&lt;&gt;"",'[1]Leakage Tree Data'!AD106,"")</f>
        <v>-0.147941057330619</v>
      </c>
      <c s="72">
        <f>IF('[1]Leakage Tree Data'!AE106&lt;&gt;"",'[1]Leakage Tree Data'!AE106,"")</f>
      </c>
      <c s="73">
        <f t="shared" si="21"/>
      </c>
      <c s="73">
        <f t="shared" si="22"/>
      </c>
      <c s="73">
        <f t="shared" si="23"/>
      </c>
      <c s="73">
        <f t="shared" si="24"/>
      </c>
      <c s="74">
        <f t="shared" si="25"/>
      </c>
      <c s="74">
        <f t="shared" si="26"/>
      </c>
      <c s="69" t="str">
        <f t="shared" si="17"/>
        <v>Total US - Lowes Home Improvement</v>
      </c>
      <c s="69" t="str">
        <f t="shared" si="18"/>
        <v>Total US - Hardware-Home</v>
      </c>
      <c s="77"/>
    </row>
    <row r="208" spans="1:141" ht="15">
      <c r="A20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208,$AL$8:$AL$15,1,FALSE))=TRUE,IF(AND(CV208=CW208,CV208&lt;&gt;"",DI$111&lt;&gt;"",DK208&lt;&gt;""),IF(CW$101="Y",DK208-IF(ISERROR(VLOOKUP(CV208,$CA$113:$DK$300,37,FALSE))=TRUE,0,IF(VLOOKUP(CV208,$CA$113:$DK$300,37,FALSE)="",0,VLOOKUP(CV208,$CA$113:$DK$300,37,FALSE))),DK208-IF(AND(CW$102="Y",CV208=$CW$111),DI$111,0)),""),"")</f>
      </c>
      <c s="76">
        <f>IF(ISERROR(VLOOKUP(CV208,$AL$8:$AL$15,1,FALSE))=TRUE,IF(CB208&lt;&gt;"",IF(CB208&gt;0,IF(Z$4&lt;&gt;"",MIN(4,RANK(CB208,$CB$111:$CB$300)),RANK(CB208,$CB$111:$CB$300)),""),""),"")</f>
      </c>
      <c s="75">
        <f>IF(ISERROR(VLOOKUP(CV208,$AL$8:$AL$15,1,FALSE))=TRUE,IF(AND(ISERROR(FIND("NeighMkt",$CX$102))=FALSE,LEFT($CW$111,10)="ALL OUTLET",$CA208&lt;&gt;"",DK208&lt;&gt;""),"",IF(AND($CV208&lt;&gt;$CW208,$CW208=CD$110),$DK208,"")),"")</f>
      </c>
      <c s="76">
        <f>IF(ISERROR(VLOOKUP(CV208,$AL$8:$AL$15,1,FALSE))=TRUE,IF(CD208&lt;&gt;"",IF(CD208&gt;0,RANK(CD208,$CD$111:$CD$300),""),""),"")</f>
      </c>
      <c s="75">
        <f>IF(ISERROR(VLOOKUP(CV208,$AL$8:$AL$15,1,FALSE))=TRUE,IF(AND(ISERROR(FIND("NeighMkt",$CX$102))=FALSE,LEFT($CW$111,10)="ALL OUTLET",$CA208&lt;&gt;"",DK208&lt;&gt;""),"",IF(AND($CV208&lt;&gt;$CW208,$CW208=CF$110),$DK208,"")),"")</f>
      </c>
      <c s="76">
        <f>IF(ISERROR(VLOOKUP(CV208,$AL$8:$AL$15,1,FALSE))=TRUE,IF(CF208&lt;&gt;"",IF(CF208&gt;0,RANK(CF208,$CF$111:$CF$300),""),""),"")</f>
      </c>
      <c s="75">
        <f>IF(ISERROR(VLOOKUP(CV208,$AL$8:$AL$15,1,FALSE))=TRUE,IF(AND(ISERROR(FIND("NeighMkt",$CX$102))=FALSE,LEFT($CW$111,10)="ALL OUTLET",$CA208&lt;&gt;"",DK208&lt;&gt;""),"",IF(AND($CV208&lt;&gt;$CW208,$CW208=CH$110),$DK208,"")),"")</f>
      </c>
      <c s="76">
        <f>IF(ISERROR(VLOOKUP(CV208,$AL$8:$AL$15,1,FALSE))=TRUE,IF(CH208&lt;&gt;"",IF(CH208&gt;0,RANK(CH208,$CH$111:$CH$300),""),""),"")</f>
      </c>
      <c s="75">
        <f>IF(ISERROR(VLOOKUP(CV208,$AL$8:$AL$15,1,FALSE))=TRUE,IF(AND(ISERROR(FIND("NeighMkt",$CX$102))=FALSE,LEFT($CW$111,10)="ALL OUTLET",$CA208&lt;&gt;"",DK208&lt;&gt;""),"",IF($Z$4="",IF(AND($CV208&lt;&gt;$CW208,$CW208=CJ$110),$DK208,""),IF(AND($CV208&lt;&gt;$CW208,$CW208&lt;&gt;CD$110,$CW208&lt;&gt;CF$110,$CW208&lt;&gt;CH$110,$CW208&lt;&gt;$CV$111),$DK208,""))),"")</f>
        <v>3323974.32773209</v>
      </c>
      <c s="76">
        <f>IF(ISERROR(VLOOKUP(CV208,$AL$8:$AL$15,1,FALSE))=TRUE,IF(CJ208&lt;&gt;"",IF(CJ208&gt;0,RANK(CJ208,$CJ$111:$CJ$300),""),""),"")</f>
        <v>9</v>
      </c>
      <c s="75">
        <f>IF(ISERROR(VLOOKUP(CV208,$AL$8:$AL$15,1,FALSE))=TRUE,IF(AND(CV208=CW208,CV208&lt;&gt;"",DJ208&lt;&gt;""),IF(AND(ISERROR(FIND("NeighMkt",$CX$102))=FALSE,LEFT($CW$111,10)="ALL OUTLET"),DJ208-IF(ISERROR(VLOOKUP(CV208,$CA$113:$DK$300,36,FALSE))=TRUE,0,IF(VLOOKUP(CV208,$CA$113:$DK$300,36,FALSE)="",0,VLOOKUP(CV208,$CA$113:$DK$300,36,FALSE))),DJ208),""),"")</f>
      </c>
      <c s="76">
        <f>IF(ISERROR(VLOOKUP(CV208,$AL$8:$AL$15,1,FALSE))=TRUE,IF(CL208&lt;&gt;"",IF(CL208&gt;0,IF($Z$4&lt;&gt;"",MIN(4,RANK(CL208,$CL$111:$CL$300)),RANK(CL208,$CL$111:$CL$300)),""),""),"")</f>
      </c>
      <c s="75">
        <f>IF(ISERROR(VLOOKUP(CV208,$AL$8:$AL$15,1,FALSE))=TRUE,IF(AND(ISERROR(FIND("NeighMkt",$CX$102))=FALSE,LEFT($CW$111,10)="ALL OUTLET",$CA208&lt;&gt;"",DJ208&lt;&gt;""),"",IF(AND($CV208&lt;&gt;$CW208,$CW208=CN$110),$DJ208,"")),"")</f>
      </c>
      <c s="76">
        <f>IF(ISERROR(VLOOKUP(CV208,$AL$8:$AL$15,1,FALSE))=TRUE,IF(CN208&lt;&gt;"",IF(CN208&gt;0,RANK(CN208,$CN$111:$CN$300),""),""),"")</f>
      </c>
      <c s="75">
        <f>IF(ISERROR(VLOOKUP(CV208,$AL$8:$AL$15,1,FALSE))=TRUE,IF(AND(ISERROR(FIND("NeighMkt",$CX$102))=FALSE,LEFT($CW$111,10)="ALL OUTLET",$CA208&lt;&gt;"",DJ208&lt;&gt;""),"",IF(AND($CV208&lt;&gt;$CW208,$CW208=CP$110),$DJ208,"")),"")</f>
      </c>
      <c s="76">
        <f>IF(ISERROR(VLOOKUP(CV208,$AL$8:$AL$15,1,FALSE))=TRUE,IF(CP208&lt;&gt;"",IF(CP208&gt;0,RANK(CP208,$CP$111:$CP$300),""),""),"")</f>
      </c>
      <c s="75">
        <f>IF(ISERROR(VLOOKUP(CV208,$AL$8:$AL$15,1,FALSE))=TRUE,IF(AND(ISERROR(FIND("NeighMkt",$CX$102))=FALSE,LEFT($CW$111,10)="ALL OUTLET",$CA208&lt;&gt;"",DJ208&lt;&gt;""),"",IF(AND($CV208&lt;&gt;$CW208,$CW208=CR$110),$DJ208,"")),"")</f>
      </c>
      <c s="76">
        <f>IF(ISERROR(VLOOKUP(CV208,$AL$8:$AL$15,1,FALSE))=TRUE,IF(CR208&lt;&gt;"",IF(CR208&gt;0,RANK(CR208,$CR$111:$CR$300),""),""),"")</f>
      </c>
      <c s="75">
        <f>IF(ISERROR(VLOOKUP(CV208,$AL$8:$AL$15,1,FALSE))=TRUE,IF(AND(ISERROR(FIND("NeighMkt",$CX$102))=FALSE,LEFT($CW$111,10)="ALL OUTLET",$CA208&lt;&gt;"",DJ208&lt;&gt;""),"",IF($Z$4="",IF(AND($CV208&lt;&gt;$CW208,$CW208=CT$110),$DJ208,""),IF(AND($CV208&lt;&gt;$CW208,$CW208&lt;&gt;CN$110,$CW208&lt;&gt;CP$110,$CW208&lt;&gt;CR$110,$CW208&lt;&gt;$CV$111),$DJ208,""))),"")</f>
        <v>10972512.4333439</v>
      </c>
      <c s="76">
        <f>IF(ISERROR(VLOOKUP(CV208,$AL$8:$AL$15,1,FALSE))=TRUE,IF(CT208&lt;&gt;"",IF(CT208&gt;0,RANK(CT208,$CT$111:$CT$300),""),""),"")</f>
        <v>10</v>
      </c>
      <c s="65" t="str">
        <f t="shared" si="19"/>
        <v>Menards</v>
      </c>
      <c s="65" t="str">
        <f t="shared" si="20"/>
        <v>Hardware-Home</v>
      </c>
      <c s="72" t="str">
        <f>IF('[1]Leakage Tree Data'!A107&lt;&gt;"",'[1]Leakage Tree Data'!A107,"")</f>
        <v>Total US - Menards</v>
      </c>
      <c s="72" t="str">
        <f>IF('[1]Leakage Tree Data'!B107&lt;&gt;"",'[1]Leakage Tree Data'!B107,"")</f>
        <v>Total US - Hardware-Home</v>
      </c>
      <c s="72">
        <f>IF('[1]Leakage Tree Data'!C107&lt;&gt;"",'[1]Leakage Tree Data'!C107,"")</f>
        <v>121171760.292236</v>
      </c>
      <c s="72">
        <f>IF('[1]Leakage Tree Data'!D107&lt;&gt;"",'[1]Leakage Tree Data'!D107,"")</f>
        <v>10346575.0297852</v>
      </c>
      <c s="72">
        <f>IF('[1]Leakage Tree Data'!E107&lt;&gt;"",'[1]Leakage Tree Data'!E107,"")</f>
        <v>8.5387676178276</v>
      </c>
      <c s="72">
        <f>IF('[1]Leakage Tree Data'!F107&lt;&gt;"",'[1]Leakage Tree Data'!F107,"")</f>
        <v>110825185.262451</v>
      </c>
      <c s="72">
        <f>IF('[1]Leakage Tree Data'!G107&lt;&gt;"",'[1]Leakage Tree Data'!G107,"")</f>
        <v>91.4612323821724</v>
      </c>
      <c s="72">
        <f>IF('[1]Leakage Tree Data'!H107&lt;&gt;"",'[1]Leakage Tree Data'!H107,"")</f>
        <v>61518209.9918823</v>
      </c>
      <c s="72" t="str">
        <f>IF('[1]Leakage Tree Data'!I107&lt;&gt;"",'[1]Leakage Tree Data'!I107,"")</f>
        <v>Hardware-Home</v>
      </c>
      <c s="72">
        <f>IF('[1]Leakage Tree Data'!J107&lt;&gt;"",'[1]Leakage Tree Data'!J107,"")</f>
        <v>98.3574138699563</v>
      </c>
      <c s="72">
        <f>IF('[1]Leakage Tree Data'!K107&lt;&gt;"",'[1]Leakage Tree Data'!K107,"")</f>
        <v>1010489.58477783</v>
      </c>
      <c s="72">
        <f>IF('[1]Leakage Tree Data'!L107&lt;&gt;"",'[1]Leakage Tree Data'!L107,"")</f>
        <v>3323974.32773209</v>
      </c>
      <c s="72">
        <f>IF('[1]Leakage Tree Data'!M107&lt;&gt;"",'[1]Leakage Tree Data'!M107,"")</f>
        <v>10972512.4333439</v>
      </c>
      <c s="72">
        <f>IF('[1]Leakage Tree Data'!N107&lt;&gt;"",'[1]Leakage Tree Data'!N107,"")</f>
        <v>3323974.32773209</v>
      </c>
      <c s="72">
        <f>IF('[1]Leakage Tree Data'!O107&lt;&gt;"",'[1]Leakage Tree Data'!O107,"")</f>
        <v>16.7393575730898</v>
      </c>
      <c s="72">
        <f>IF('[1]Leakage Tree Data'!P107&lt;&gt;"",'[1]Leakage Tree Data'!P107,"")</f>
        <v>1483791.98263704</v>
      </c>
      <c s="72">
        <f>IF('[1]Leakage Tree Data'!Q107&lt;&gt;"",'[1]Leakage Tree Data'!Q107,"")</f>
      </c>
      <c s="72">
        <f>IF('[1]Leakage Tree Data'!R107&lt;&gt;"",'[1]Leakage Tree Data'!R107,"")</f>
        <v>1017625.85098267</v>
      </c>
      <c s="72">
        <f>IF('[1]Leakage Tree Data'!S107&lt;&gt;"",'[1]Leakage Tree Data'!S107,"")</f>
        <v>-116572.446899414</v>
      </c>
      <c s="72">
        <f>IF('[1]Leakage Tree Data'!T107&lt;&gt;"",'[1]Leakage Tree Data'!T107,"")</f>
        <v>-0.169336789349719</v>
      </c>
      <c s="72">
        <f>IF('[1]Leakage Tree Data'!U107&lt;&gt;"",'[1]Leakage Tree Data'!U107,"")</f>
        <v>1134198.29788208</v>
      </c>
      <c s="72">
        <f>IF('[1]Leakage Tree Data'!V107&lt;&gt;"",'[1]Leakage Tree Data'!V107,"")</f>
        <v>0.169336789349714</v>
      </c>
      <c s="72">
        <f>IF('[1]Leakage Tree Data'!W107&lt;&gt;"",'[1]Leakage Tree Data'!W107,"")</f>
        <v>-1855949.2237854</v>
      </c>
      <c s="72">
        <f>IF('[1]Leakage Tree Data'!X107&lt;&gt;"",'[1]Leakage Tree Data'!X107,"")</f>
      </c>
      <c s="72">
        <f>IF('[1]Leakage Tree Data'!Y107&lt;&gt;"",'[1]Leakage Tree Data'!Y107,"")</f>
        <v>0.304778601698771</v>
      </c>
      <c s="72">
        <f>IF('[1]Leakage Tree Data'!Z107&lt;&gt;"",'[1]Leakage Tree Data'!Z107,"")</f>
        <v>-223636.440826416</v>
      </c>
      <c s="72">
        <f>IF('[1]Leakage Tree Data'!AA107&lt;&gt;"",'[1]Leakage Tree Data'!AA107,"")</f>
        <v>-1198640.32957459</v>
      </c>
      <c s="72">
        <f>IF('[1]Leakage Tree Data'!AB107&lt;&gt;"",'[1]Leakage Tree Data'!AB107,"")</f>
        <v>-2623297.22567177</v>
      </c>
      <c s="72">
        <f>IF('[1]Leakage Tree Data'!AC107&lt;&gt;"",'[1]Leakage Tree Data'!AC107,"")</f>
        <v>-1198640.32957459</v>
      </c>
      <c s="72">
        <f>IF('[1]Leakage Tree Data'!AD107&lt;&gt;"",'[1]Leakage Tree Data'!AD107,"")</f>
        <v>-2.73317496499903</v>
      </c>
      <c s="72">
        <f>IF('[1]Leakage Tree Data'!AE107&lt;&gt;"",'[1]Leakage Tree Data'!AE107,"")</f>
      </c>
      <c s="73">
        <f t="shared" si="21"/>
      </c>
      <c s="73">
        <f t="shared" si="22"/>
      </c>
      <c s="73">
        <f t="shared" si="23"/>
      </c>
      <c s="73">
        <f t="shared" si="24"/>
      </c>
      <c s="74">
        <f t="shared" si="25"/>
      </c>
      <c s="74">
        <f t="shared" si="26"/>
      </c>
      <c s="69" t="str">
        <f t="shared" si="17"/>
        <v>Total US - Menards</v>
      </c>
      <c s="69" t="str">
        <f t="shared" si="18"/>
        <v>Total US - Hardware-Home</v>
      </c>
      <c s="77"/>
    </row>
    <row r="209" spans="1:141" ht="15">
      <c r="A20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f t="shared" si="27"/>
      </c>
      <c s="75">
        <f>IF(ISERROR(VLOOKUP(CV209,$AL$8:$AL$15,1,FALSE))=TRUE,IF(AND(CV209=CW209,CV209&lt;&gt;"",DI$111&lt;&gt;"",DK209&lt;&gt;""),IF(CW$101="Y",DK209-IF(ISERROR(VLOOKUP(CV209,$CA$113:$DK$300,37,FALSE))=TRUE,0,IF(VLOOKUP(CV209,$CA$113:$DK$300,37,FALSE)="",0,VLOOKUP(CV209,$CA$113:$DK$300,37,FALSE))),DK209-IF(AND(CW$102="Y",CV209=$CW$111),DI$111,0)),""),"")</f>
      </c>
      <c s="76">
        <f>IF(ISERROR(VLOOKUP(CV209,$AL$8:$AL$15,1,FALSE))=TRUE,IF(CB209&lt;&gt;"",IF(CB209&gt;0,IF(Z$4&lt;&gt;"",MIN(4,RANK(CB209,$CB$111:$CB$300)),RANK(CB209,$CB$111:$CB$300)),""),""),"")</f>
      </c>
      <c s="75">
        <f>IF(ISERROR(VLOOKUP(CV209,$AL$8:$AL$15,1,FALSE))=TRUE,IF(AND(ISERROR(FIND("NeighMkt",$CX$102))=FALSE,LEFT($CW$111,10)="ALL OUTLET",$CA209&lt;&gt;"",DK209&lt;&gt;""),"",IF(AND($CV209&lt;&gt;$CW209,$CW209=CD$110),$DK209,"")),"")</f>
      </c>
      <c s="76">
        <f>IF(ISERROR(VLOOKUP(CV209,$AL$8:$AL$15,1,FALSE))=TRUE,IF(CD209&lt;&gt;"",IF(CD209&gt;0,RANK(CD209,$CD$111:$CD$300),""),""),"")</f>
      </c>
      <c s="75">
        <f>IF(ISERROR(VLOOKUP(CV209,$AL$8:$AL$15,1,FALSE))=TRUE,IF(AND(ISERROR(FIND("NeighMkt",$CX$102))=FALSE,LEFT($CW$111,10)="ALL OUTLET",$CA209&lt;&gt;"",DK209&lt;&gt;""),"",IF(AND($CV209&lt;&gt;$CW209,$CW209=CF$110),$DK209,"")),"")</f>
      </c>
      <c s="76">
        <f>IF(ISERROR(VLOOKUP(CV209,$AL$8:$AL$15,1,FALSE))=TRUE,IF(CF209&lt;&gt;"",IF(CF209&gt;0,RANK(CF209,$CF$111:$CF$300),""),""),"")</f>
      </c>
      <c s="75">
        <f>IF(ISERROR(VLOOKUP(CV209,$AL$8:$AL$15,1,FALSE))=TRUE,IF(AND(ISERROR(FIND("NeighMkt",$CX$102))=FALSE,LEFT($CW$111,10)="ALL OUTLET",$CA209&lt;&gt;"",DK209&lt;&gt;""),"",IF(AND($CV209&lt;&gt;$CW209,$CW209=CH$110),$DK209,"")),"")</f>
      </c>
      <c s="76">
        <f>IF(ISERROR(VLOOKUP(CV209,$AL$8:$AL$15,1,FALSE))=TRUE,IF(CH209&lt;&gt;"",IF(CH209&gt;0,RANK(CH209,$CH$111:$CH$300),""),""),"")</f>
      </c>
      <c s="75">
        <f>IF(ISERROR(VLOOKUP(CV209,$AL$8:$AL$15,1,FALSE))=TRUE,IF(AND(ISERROR(FIND("NeighMkt",$CX$102))=FALSE,LEFT($CW$111,10)="ALL OUTLET",$CA209&lt;&gt;"",DK209&lt;&gt;""),"",IF($Z$4="",IF(AND($CV209&lt;&gt;$CW209,$CW209=CJ$110),$DK209,""),IF(AND($CV209&lt;&gt;$CW209,$CW209&lt;&gt;CD$110,$CW209&lt;&gt;CF$110,$CW209&lt;&gt;CH$110,$CW209&lt;&gt;$CV$111),$DK209,""))),"")</f>
      </c>
      <c s="76">
        <f>IF(ISERROR(VLOOKUP(CV209,$AL$8:$AL$15,1,FALSE))=TRUE,IF(CJ209&lt;&gt;"",IF(CJ209&gt;0,RANK(CJ209,$CJ$111:$CJ$300),""),""),"")</f>
      </c>
      <c s="75">
        <f>IF(ISERROR(VLOOKUP(CV209,$AL$8:$AL$15,1,FALSE))=TRUE,IF(AND(CV209=CW209,CV209&lt;&gt;"",DJ209&lt;&gt;""),IF(AND(ISERROR(FIND("NeighMkt",$CX$102))=FALSE,LEFT($CW$111,10)="ALL OUTLET"),DJ209-IF(ISERROR(VLOOKUP(CV209,$CA$113:$DK$300,36,FALSE))=TRUE,0,IF(VLOOKUP(CV209,$CA$113:$DK$300,36,FALSE)="",0,VLOOKUP(CV209,$CA$113:$DK$300,36,FALSE))),DJ209),""),"")</f>
      </c>
      <c s="76">
        <f>IF(ISERROR(VLOOKUP(CV209,$AL$8:$AL$15,1,FALSE))=TRUE,IF(CL209&lt;&gt;"",IF(CL209&gt;0,IF($Z$4&lt;&gt;"",MIN(4,RANK(CL209,$CL$111:$CL$300)),RANK(CL209,$CL$111:$CL$300)),""),""),"")</f>
      </c>
      <c s="75">
        <f>IF(ISERROR(VLOOKUP(CV209,$AL$8:$AL$15,1,FALSE))=TRUE,IF(AND(ISERROR(FIND("NeighMkt",$CX$102))=FALSE,LEFT($CW$111,10)="ALL OUTLET",$CA209&lt;&gt;"",DJ209&lt;&gt;""),"",IF(AND($CV209&lt;&gt;$CW209,$CW209=CN$110),$DJ209,"")),"")</f>
      </c>
      <c s="76">
        <f>IF(ISERROR(VLOOKUP(CV209,$AL$8:$AL$15,1,FALSE))=TRUE,IF(CN209&lt;&gt;"",IF(CN209&gt;0,RANK(CN209,$CN$111:$CN$300),""),""),"")</f>
      </c>
      <c s="75">
        <f>IF(ISERROR(VLOOKUP(CV209,$AL$8:$AL$15,1,FALSE))=TRUE,IF(AND(ISERROR(FIND("NeighMkt",$CX$102))=FALSE,LEFT($CW$111,10)="ALL OUTLET",$CA209&lt;&gt;"",DJ209&lt;&gt;""),"",IF(AND($CV209&lt;&gt;$CW209,$CW209=CP$110),$DJ209,"")),"")</f>
      </c>
      <c s="76">
        <f>IF(ISERROR(VLOOKUP(CV209,$AL$8:$AL$15,1,FALSE))=TRUE,IF(CP209&lt;&gt;"",IF(CP209&gt;0,RANK(CP209,$CP$111:$CP$300),""),""),"")</f>
      </c>
      <c s="75">
        <f>IF(ISERROR(VLOOKUP(CV209,$AL$8:$AL$15,1,FALSE))=TRUE,IF(AND(ISERROR(FIND("NeighMkt",$CX$102))=FALSE,LEFT($CW$111,10)="ALL OUTLET",$CA209&lt;&gt;"",DJ209&lt;&gt;""),"",IF(AND($CV209&lt;&gt;$CW209,$CW209=CR$110),$DJ209,"")),"")</f>
      </c>
      <c s="76">
        <f>IF(ISERROR(VLOOKUP(CV209,$AL$8:$AL$15,1,FALSE))=TRUE,IF(CR209&lt;&gt;"",IF(CR209&gt;0,RANK(CR209,$CR$111:$CR$300),""),""),"")</f>
      </c>
      <c s="75">
        <f>IF(ISERROR(VLOOKUP(CV209,$AL$8:$AL$15,1,FALSE))=TRUE,IF(AND(ISERROR(FIND("NeighMkt",$CX$102))=FALSE,LEFT($CW$111,10)="ALL OUTLET",$CA209&lt;&gt;"",DJ209&lt;&gt;""),"",IF($Z$4="",IF(AND($CV209&lt;&gt;$CW209,$CW209=CT$110),$DJ209,""),IF(AND($CV209&lt;&gt;$CW209,$CW209&lt;&gt;CN$110,$CW209&lt;&gt;CP$110,$CW209&lt;&gt;CR$110,$CW209&lt;&gt;$CV$111),$DJ209,""))),"")</f>
      </c>
      <c s="76">
        <f>IF(ISERROR(VLOOKUP(CV209,$AL$8:$AL$15,1,FALSE))=TRUE,IF(CT209&lt;&gt;"",IF(CT209&gt;0,RANK(CT209,$CT$111:$CT$300),""),""),"")</f>
      </c>
      <c s="65" t="str">
        <f t="shared" si="19"/>
        <v>Orchard Supply</v>
      </c>
      <c s="65" t="str">
        <f t="shared" si="20"/>
        <v>Hardware-Home</v>
      </c>
      <c s="72" t="str">
        <f>IF('[1]Leakage Tree Data'!A108&lt;&gt;"",'[1]Leakage Tree Data'!A108,"")</f>
        <v>Total US - Orchard Supply</v>
      </c>
      <c s="72" t="str">
        <f>IF('[1]Leakage Tree Data'!B108&lt;&gt;"",'[1]Leakage Tree Data'!B108,"")</f>
        <v>Total US - Hardware-Home</v>
      </c>
      <c s="72">
        <f>IF('[1]Leakage Tree Data'!C108&lt;&gt;"",'[1]Leakage Tree Data'!C108,"")</f>
        <v>121171760.292236</v>
      </c>
      <c s="72">
        <f>IF('[1]Leakage Tree Data'!D108&lt;&gt;"",'[1]Leakage Tree Data'!D108,"")</f>
        <v>1701150.85211182</v>
      </c>
      <c s="72">
        <f>IF('[1]Leakage Tree Data'!E108&lt;&gt;"",'[1]Leakage Tree Data'!E108,"")</f>
        <v>1.40391692586545</v>
      </c>
      <c s="72">
        <f>IF('[1]Leakage Tree Data'!F108&lt;&gt;"",'[1]Leakage Tree Data'!F108,"")</f>
        <v>119470609.440125</v>
      </c>
      <c s="72">
        <f>IF('[1]Leakage Tree Data'!G108&lt;&gt;"",'[1]Leakage Tree Data'!G108,"")</f>
        <v>98.5960830741346</v>
      </c>
      <c s="72">
        <f>IF('[1]Leakage Tree Data'!H108&lt;&gt;"",'[1]Leakage Tree Data'!H108,"")</f>
        <v>61518209.9918823</v>
      </c>
      <c s="72" t="str">
        <f>IF('[1]Leakage Tree Data'!I108&lt;&gt;"",'[1]Leakage Tree Data'!I108,"")</f>
        <v>Hardware-Home</v>
      </c>
      <c s="72">
        <f>IF('[1]Leakage Tree Data'!J108&lt;&gt;"",'[1]Leakage Tree Data'!J108,"")</f>
      </c>
      <c s="72">
        <f>IF('[1]Leakage Tree Data'!K108&lt;&gt;"",'[1]Leakage Tree Data'!K108,"")</f>
      </c>
      <c s="72">
        <f>IF('[1]Leakage Tree Data'!L108&lt;&gt;"",'[1]Leakage Tree Data'!L108,"")</f>
      </c>
      <c s="72">
        <f>IF('[1]Leakage Tree Data'!M108&lt;&gt;"",'[1]Leakage Tree Data'!M108,"")</f>
      </c>
      <c s="72">
        <f>IF('[1]Leakage Tree Data'!N108&lt;&gt;"",'[1]Leakage Tree Data'!N108,"")</f>
      </c>
      <c s="72">
        <f>IF('[1]Leakage Tree Data'!O108&lt;&gt;"",'[1]Leakage Tree Data'!O108,"")</f>
      </c>
      <c s="72">
        <f>IF('[1]Leakage Tree Data'!P108&lt;&gt;"",'[1]Leakage Tree Data'!P108,"")</f>
      </c>
      <c s="72">
        <f>IF('[1]Leakage Tree Data'!Q108&lt;&gt;"",'[1]Leakage Tree Data'!Q108,"")</f>
      </c>
      <c s="72">
        <f>IF('[1]Leakage Tree Data'!R108&lt;&gt;"",'[1]Leakage Tree Data'!R108,"")</f>
        <v>1017625.85098267</v>
      </c>
      <c s="72">
        <f>IF('[1]Leakage Tree Data'!S108&lt;&gt;"",'[1]Leakage Tree Data'!S108,"")</f>
        <v>76118.5184631348</v>
      </c>
      <c s="72">
        <f>IF('[1]Leakage Tree Data'!T108&lt;&gt;"",'[1]Leakage Tree Data'!T108,"")</f>
        <v>0.0514604821438232</v>
      </c>
      <c s="72">
        <f>IF('[1]Leakage Tree Data'!U108&lt;&gt;"",'[1]Leakage Tree Data'!U108,"")</f>
        <v>941507.332519531</v>
      </c>
      <c s="72">
        <f>IF('[1]Leakage Tree Data'!V108&lt;&gt;"",'[1]Leakage Tree Data'!V108,"")</f>
        <v>-0.051460482143824</v>
      </c>
      <c s="72">
        <f>IF('[1]Leakage Tree Data'!W108&lt;&gt;"",'[1]Leakage Tree Data'!W108,"")</f>
        <v>-1855949.2237854</v>
      </c>
      <c s="72">
        <f>IF('[1]Leakage Tree Data'!X108&lt;&gt;"",'[1]Leakage Tree Data'!X108,"")</f>
      </c>
      <c s="72">
        <f>IF('[1]Leakage Tree Data'!Y108&lt;&gt;"",'[1]Leakage Tree Data'!Y108,"")</f>
      </c>
      <c s="72">
        <f>IF('[1]Leakage Tree Data'!Z108&lt;&gt;"",'[1]Leakage Tree Data'!Z108,"")</f>
      </c>
      <c s="72">
        <f>IF('[1]Leakage Tree Data'!AA108&lt;&gt;"",'[1]Leakage Tree Data'!AA108,"")</f>
      </c>
      <c s="72">
        <f>IF('[1]Leakage Tree Data'!AB108&lt;&gt;"",'[1]Leakage Tree Data'!AB108,"")</f>
      </c>
      <c s="72">
        <f>IF('[1]Leakage Tree Data'!AC108&lt;&gt;"",'[1]Leakage Tree Data'!AC108,"")</f>
      </c>
      <c s="72">
        <f>IF('[1]Leakage Tree Data'!AD108&lt;&gt;"",'[1]Leakage Tree Data'!AD108,"")</f>
      </c>
      <c s="72">
        <f>IF('[1]Leakage Tree Data'!AE108&lt;&gt;"",'[1]Leakage Tree Data'!AE108,"")</f>
      </c>
      <c s="73">
        <f t="shared" ref="EC209:EC240" si="28">IF(AND(CV209=CW209,CV209&lt;&gt;"",DJ209&lt;&gt;""),IF(AND(ISERROR(FIND("NeighMkt",$CX$102))=FALSE,LEFT($CW$111,10)="ALL OUTLET"),DJ209-IF(ISERROR(VLOOKUP(CV209,$CA$113:$DK$300,36,FALSE))=TRUE,0,IF(VLOOKUP(CV209,$CA$113:$DK$300,36,FALSE)="",0,VLOOKUP(CV209,$CA$113:$DK$300,36,FALSE))),DJ209),"")</f>
      </c>
      <c s="73">
        <f t="shared" ref="ED209:ED240" si="29">IF(AND(CV209=CW209,CV209&lt;&gt;"",DI$111&lt;&gt;"",DK209&lt;&gt;""),IF(CW$101="Y",DK209-IF(ISERROR(VLOOKUP(CV209,$CA$113:$DK$300,37,FALSE))=TRUE,0,IF(VLOOKUP(CV209,$CA$113:$DK$300,37,FALSE)="",0,VLOOKUP(CV209,$CA$113:$DK$300,37,FALSE))),DK209-IF(AND(CW$102="Y",CV209=$CW$111),DI$111,0)),"")</f>
      </c>
      <c s="73">
        <f t="shared" ref="EE209:EE240" si="30">IF(AND(CV209=CW209,CV209&lt;&gt;"",DJ209&lt;&gt;"",DY209&lt;&gt;""),IF(AND(ISERROR(FIND("NeighMkt",$CX$102))=FALSE,LEFT($CW$111,10)="ALL OUTLET"),DY209-IF(ISERROR(VLOOKUP(CV209,$CA$113:$DZ$300,51,FALSE))=TRUE,0,IF(VLOOKUP(CV209,$CA$113:$DZ$300,51,FALSE)="",0,VLOOKUP(CV209,$CA$113:$DZ$300,51,FALSE))),DY209),"")</f>
      </c>
      <c s="73">
        <f t="shared" ref="EF209:EF240" si="31">IF(AND(CV209=CW209,CV209&lt;&gt;"",DI$111&lt;&gt;"",DK209&lt;&gt;"",DZ209&lt;&gt;""),IF(CW$101="Y",DZ209-IF(ISERROR(VLOOKUP(CV209,$CA$113:$DZ$300,52,FALSE))=TRUE,0,IF(VLOOKUP(CV209,$CA$113:$DZ$300,52,FALSE)="",0,VLOOKUP(CV209,$CA$113:$DZ$300,52,FALSE))),DZ209-IF(AND(CW$102="Y",CV209=$CW$111),DX$111,0)),"")</f>
      </c>
      <c s="74">
        <f t="shared" si="25"/>
      </c>
      <c s="74">
        <f t="shared" si="26"/>
      </c>
      <c s="69" t="str">
        <f t="shared" si="17"/>
        <v>Total US - Orchard Supply</v>
      </c>
      <c s="69" t="str">
        <f t="shared" si="18"/>
        <v>Total US - Hardware-Home</v>
      </c>
      <c s="77"/>
    </row>
    <row r="210" spans="1:141" s="92" customFormat="1" ht="15">
      <c r="A2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210,$AL$8:$AL$15,1,FALSE))=TRUE,IF(AND(CV210=CW210,CV210&lt;&gt;"",DI$111&lt;&gt;"",DK210&lt;&gt;""),IF(CW$101="Y",DK210-IF(ISERROR(VLOOKUP(CV210,$CA$113:$DK$300,37,FALSE))=TRUE,0,IF(VLOOKUP(CV210,$CA$113:$DK$300,37,FALSE)="",0,VLOOKUP(CV210,$CA$113:$DK$300,37,FALSE))),DK210-IF(AND(CW$102="Y",CV210=$CW$111),DI$111,0)),""),"")</f>
      </c>
      <c s="76">
        <f>IF(ISERROR(VLOOKUP(CV210,$AL$8:$AL$15,1,FALSE))=TRUE,IF(CB210&lt;&gt;"",IF(CB210&gt;0,IF(Z$4&lt;&gt;"",MIN(4,RANK(CB210,$CB$111:$CB$300)),RANK(CB210,$CB$111:$CB$300)),""),""),"")</f>
      </c>
      <c s="75">
        <f>IF(ISERROR(VLOOKUP(CV210,$AL$8:$AL$15,1,FALSE))=TRUE,IF(AND(ISERROR(FIND("NeighMkt",$CX$102))=FALSE,LEFT($CW$111,10)="ALL OUTLET",$CA210&lt;&gt;"",DK210&lt;&gt;""),"",IF(AND($CV210&lt;&gt;$CW210,$CW210=CD$110),$DK210,"")),"")</f>
      </c>
      <c s="76">
        <f>IF(ISERROR(VLOOKUP(CV210,$AL$8:$AL$15,1,FALSE))=TRUE,IF(CD210&lt;&gt;"",IF(CD210&gt;0,RANK(CD210,$CD$111:$CD$300),""),""),"")</f>
      </c>
      <c s="75">
        <f>IF(ISERROR(VLOOKUP(CV210,$AL$8:$AL$15,1,FALSE))=TRUE,IF(AND(ISERROR(FIND("NeighMkt",$CX$102))=FALSE,LEFT($CW$111,10)="ALL OUTLET",$CA210&lt;&gt;"",DK210&lt;&gt;""),"",IF(AND($CV210&lt;&gt;$CW210,$CW210=CF$110),$DK210,"")),"")</f>
      </c>
      <c s="76">
        <f>IF(ISERROR(VLOOKUP(CV210,$AL$8:$AL$15,1,FALSE))=TRUE,IF(CF210&lt;&gt;"",IF(CF210&gt;0,RANK(CF210,$CF$111:$CF$300),""),""),"")</f>
      </c>
      <c s="75">
        <f>IF(ISERROR(VLOOKUP(CV210,$AL$8:$AL$15,1,FALSE))=TRUE,IF(AND(ISERROR(FIND("NeighMkt",$CX$102))=FALSE,LEFT($CW$111,10)="ALL OUTLET",$CA210&lt;&gt;"",DK210&lt;&gt;""),"",IF(AND($CV210&lt;&gt;$CW210,$CW210=CH$110),$DK210,"")),"")</f>
      </c>
      <c s="76">
        <f>IF(ISERROR(VLOOKUP(CV210,$AL$8:$AL$15,1,FALSE))=TRUE,IF(CH210&lt;&gt;"",IF(CH210&gt;0,RANK(CH210,$CH$111:$CH$300),""),""),"")</f>
      </c>
      <c s="75">
        <f>IF(ISERROR(VLOOKUP(CV210,$AL$8:$AL$15,1,FALSE))=TRUE,IF(AND(ISERROR(FIND("NeighMkt",$CX$102))=FALSE,LEFT($CW$111,10)="ALL OUTLET",$CA210&lt;&gt;"",DK210&lt;&gt;""),"",IF($Z$4="",IF(AND($CV210&lt;&gt;$CW210,$CW210=CJ$110),$DK210,""),IF(AND($CV210&lt;&gt;$CW210,$CW210&lt;&gt;CD$110,$CW210&lt;&gt;CF$110,$CW210&lt;&gt;CH$110,$CW210&lt;&gt;$CV$111),$DK210,""))),"")</f>
      </c>
      <c s="76">
        <f>IF(ISERROR(VLOOKUP(CV210,$AL$8:$AL$15,1,FALSE))=TRUE,IF(CJ210&lt;&gt;"",IF(CJ210&gt;0,RANK(CJ210,$CJ$111:$CJ$300),""),""),"")</f>
      </c>
      <c s="75">
        <f>IF(ISERROR(VLOOKUP(CV210,$AL$8:$AL$15,1,FALSE))=TRUE,IF(AND(CV210=CW210,CV210&lt;&gt;"",DJ210&lt;&gt;""),IF(AND(ISERROR(FIND("NeighMkt",$CX$102))=FALSE,LEFT($CW$111,10)="ALL OUTLET"),DJ210-IF(ISERROR(VLOOKUP(CV210,$CA$113:$DK$300,36,FALSE))=TRUE,0,IF(VLOOKUP(CV210,$CA$113:$DK$300,36,FALSE)="",0,VLOOKUP(CV210,$CA$113:$DK$300,36,FALSE))),DJ210),""),"")</f>
      </c>
      <c s="76">
        <f>IF(ISERROR(VLOOKUP(CV210,$AL$8:$AL$15,1,FALSE))=TRUE,IF(CL210&lt;&gt;"",IF(CL210&gt;0,IF($Z$4&lt;&gt;"",MIN(4,RANK(CL210,$CL$111:$CL$300)),RANK(CL210,$CL$111:$CL$300)),""),""),"")</f>
      </c>
      <c s="75">
        <f>IF(ISERROR(VLOOKUP(CV210,$AL$8:$AL$15,1,FALSE))=TRUE,IF(AND(ISERROR(FIND("NeighMkt",$CX$102))=FALSE,LEFT($CW$111,10)="ALL OUTLET",$CA210&lt;&gt;"",DJ210&lt;&gt;""),"",IF(AND($CV210&lt;&gt;$CW210,$CW210=CN$110),$DJ210,"")),"")</f>
      </c>
      <c s="76">
        <f>IF(ISERROR(VLOOKUP(CV210,$AL$8:$AL$15,1,FALSE))=TRUE,IF(CN210&lt;&gt;"",IF(CN210&gt;0,RANK(CN210,$CN$111:$CN$300),""),""),"")</f>
      </c>
      <c s="75">
        <f>IF(ISERROR(VLOOKUP(CV210,$AL$8:$AL$15,1,FALSE))=TRUE,IF(AND(ISERROR(FIND("NeighMkt",$CX$102))=FALSE,LEFT($CW$111,10)="ALL OUTLET",$CA210&lt;&gt;"",DJ210&lt;&gt;""),"",IF(AND($CV210&lt;&gt;$CW210,$CW210=CP$110),$DJ210,"")),"")</f>
      </c>
      <c s="76">
        <f>IF(ISERROR(VLOOKUP(CV210,$AL$8:$AL$15,1,FALSE))=TRUE,IF(CP210&lt;&gt;"",IF(CP210&gt;0,RANK(CP210,$CP$111:$CP$300),""),""),"")</f>
      </c>
      <c s="75">
        <f>IF(ISERROR(VLOOKUP(CV210,$AL$8:$AL$15,1,FALSE))=TRUE,IF(AND(ISERROR(FIND("NeighMkt",$CX$102))=FALSE,LEFT($CW$111,10)="ALL OUTLET",$CA210&lt;&gt;"",DJ210&lt;&gt;""),"",IF(AND($CV210&lt;&gt;$CW210,$CW210=CR$110),$DJ210,"")),"")</f>
      </c>
      <c s="76">
        <f>IF(ISERROR(VLOOKUP(CV210,$AL$8:$AL$15,1,FALSE))=TRUE,IF(CR210&lt;&gt;"",IF(CR210&gt;0,RANK(CR210,$CR$111:$CR$300),""),""),"")</f>
      </c>
      <c s="75">
        <f>IF(ISERROR(VLOOKUP(CV210,$AL$8:$AL$15,1,FALSE))=TRUE,IF(AND(ISERROR(FIND("NeighMkt",$CX$102))=FALSE,LEFT($CW$111,10)="ALL OUTLET",$CA210&lt;&gt;"",DJ210&lt;&gt;""),"",IF($Z$4="",IF(AND($CV210&lt;&gt;$CW210,$CW210=CT$110),$DJ210,""),IF(AND($CV210&lt;&gt;$CW210,$CW210&lt;&gt;CN$110,$CW210&lt;&gt;CP$110,$CW210&lt;&gt;CR$110,$CW210&lt;&gt;$CV$111),$DJ210,""))),"")</f>
      </c>
      <c s="76">
        <f>IF(ISERROR(VLOOKUP(CV210,$AL$8:$AL$15,1,FALSE))=TRUE,IF(CT210&lt;&gt;"",IF(CT210&gt;0,RANK(CT210,$CT$111:$CT$300),""),""),"")</f>
      </c>
      <c s="65" t="str">
        <f t="shared" si="19"/>
        <v>Sears Hardware</v>
      </c>
      <c s="65" t="str">
        <f t="shared" si="20"/>
        <v>Hardware-Home</v>
      </c>
      <c s="72" t="str">
        <f>IF('[1]Leakage Tree Data'!A109&lt;&gt;"",'[1]Leakage Tree Data'!A109,"")</f>
        <v>Total US - Sears Hardware</v>
      </c>
      <c s="72" t="str">
        <f>IF('[1]Leakage Tree Data'!B109&lt;&gt;"",'[1]Leakage Tree Data'!B109,"")</f>
        <v>Total US - Hardware-Home</v>
      </c>
      <c s="72">
        <f>IF('[1]Leakage Tree Data'!C109&lt;&gt;"",'[1]Leakage Tree Data'!C109,"")</f>
        <v>121171760.292236</v>
      </c>
      <c s="72">
        <f>IF('[1]Leakage Tree Data'!D109&lt;&gt;"",'[1]Leakage Tree Data'!D109,"")</f>
        <v>1641610.64239502</v>
      </c>
      <c s="72">
        <f>IF('[1]Leakage Tree Data'!E109&lt;&gt;"",'[1]Leakage Tree Data'!E109,"")</f>
        <v>1.3547798913178</v>
      </c>
      <c s="72">
        <f>IF('[1]Leakage Tree Data'!F109&lt;&gt;"",'[1]Leakage Tree Data'!F109,"")</f>
        <v>119530149.649841</v>
      </c>
      <c s="72">
        <f>IF('[1]Leakage Tree Data'!G109&lt;&gt;"",'[1]Leakage Tree Data'!G109,"")</f>
        <v>98.6452201086822</v>
      </c>
      <c s="72">
        <f>IF('[1]Leakage Tree Data'!H109&lt;&gt;"",'[1]Leakage Tree Data'!H109,"")</f>
        <v>61518209.9918823</v>
      </c>
      <c s="72" t="str">
        <f>IF('[1]Leakage Tree Data'!I109&lt;&gt;"",'[1]Leakage Tree Data'!I109,"")</f>
        <v>Hardware-Home</v>
      </c>
      <c s="72">
        <f>IF('[1]Leakage Tree Data'!J109&lt;&gt;"",'[1]Leakage Tree Data'!J109,"")</f>
      </c>
      <c s="72">
        <f>IF('[1]Leakage Tree Data'!K109&lt;&gt;"",'[1]Leakage Tree Data'!K109,"")</f>
      </c>
      <c s="72">
        <f>IF('[1]Leakage Tree Data'!L109&lt;&gt;"",'[1]Leakage Tree Data'!L109,"")</f>
      </c>
      <c s="72">
        <f>IF('[1]Leakage Tree Data'!M109&lt;&gt;"",'[1]Leakage Tree Data'!M109,"")</f>
      </c>
      <c s="72">
        <f>IF('[1]Leakage Tree Data'!N109&lt;&gt;"",'[1]Leakage Tree Data'!N109,"")</f>
      </c>
      <c s="72">
        <f>IF('[1]Leakage Tree Data'!O109&lt;&gt;"",'[1]Leakage Tree Data'!O109,"")</f>
      </c>
      <c s="72">
        <f>IF('[1]Leakage Tree Data'!P109&lt;&gt;"",'[1]Leakage Tree Data'!P109,"")</f>
      </c>
      <c s="72">
        <f>IF('[1]Leakage Tree Data'!Q109&lt;&gt;"",'[1]Leakage Tree Data'!Q109,"")</f>
      </c>
      <c s="72">
        <f>IF('[1]Leakage Tree Data'!R109&lt;&gt;"",'[1]Leakage Tree Data'!R109,"")</f>
        <v>1017625.85098267</v>
      </c>
      <c s="72">
        <f>IF('[1]Leakage Tree Data'!S109&lt;&gt;"",'[1]Leakage Tree Data'!S109,"")</f>
        <v>-370120.780212402</v>
      </c>
      <c s="72">
        <f>IF('[1]Leakage Tree Data'!T109&lt;&gt;"",'[1]Leakage Tree Data'!T109,"")</f>
        <v>-0.319512409952126</v>
      </c>
      <c s="72">
        <f>IF('[1]Leakage Tree Data'!U109&lt;&gt;"",'[1]Leakage Tree Data'!U109,"")</f>
        <v>1387746.63119507</v>
      </c>
      <c s="72">
        <f>IF('[1]Leakage Tree Data'!V109&lt;&gt;"",'[1]Leakage Tree Data'!V109,"")</f>
        <v>0.319512409952125</v>
      </c>
      <c s="72">
        <f>IF('[1]Leakage Tree Data'!W109&lt;&gt;"",'[1]Leakage Tree Data'!W109,"")</f>
        <v>-1855949.2237854</v>
      </c>
      <c s="72">
        <f>IF('[1]Leakage Tree Data'!X109&lt;&gt;"",'[1]Leakage Tree Data'!X109,"")</f>
      </c>
      <c s="72">
        <f>IF('[1]Leakage Tree Data'!Y109&lt;&gt;"",'[1]Leakage Tree Data'!Y109,"")</f>
      </c>
      <c s="72">
        <f>IF('[1]Leakage Tree Data'!Z109&lt;&gt;"",'[1]Leakage Tree Data'!Z109,"")</f>
      </c>
      <c s="72">
        <f>IF('[1]Leakage Tree Data'!AA109&lt;&gt;"",'[1]Leakage Tree Data'!AA109,"")</f>
      </c>
      <c s="72">
        <f>IF('[1]Leakage Tree Data'!AB109&lt;&gt;"",'[1]Leakage Tree Data'!AB109,"")</f>
      </c>
      <c s="72">
        <f>IF('[1]Leakage Tree Data'!AC109&lt;&gt;"",'[1]Leakage Tree Data'!AC109,"")</f>
      </c>
      <c s="72">
        <f>IF('[1]Leakage Tree Data'!AD109&lt;&gt;"",'[1]Leakage Tree Data'!AD109,"")</f>
      </c>
      <c s="72">
        <f>IF('[1]Leakage Tree Data'!AE109&lt;&gt;"",'[1]Leakage Tree Data'!AE109,"")</f>
      </c>
      <c s="73">
        <f t="shared" si="28"/>
      </c>
      <c s="73">
        <f t="shared" si="29"/>
      </c>
      <c s="73">
        <f t="shared" si="30"/>
      </c>
      <c s="73">
        <f t="shared" si="31"/>
      </c>
      <c s="74">
        <f t="shared" ref="EG210:EG260" si="32">IF(AND(CV210=CW210,CV210&lt;&gt;"",DJ210&lt;&gt;"",EE210&lt;&gt;""),EC210/$DJ$112-(EC210-EE210)/($DJ$112-$DY$112),"")</f>
      </c>
      <c s="74">
        <f t="shared" ref="EH210:EH260" si="33">IF(AND(CV210=CW210,CV210&lt;&gt;"",DI$111&lt;&gt;"",DK210&lt;&gt;"",EF210&lt;&gt;""),ED210/$DI$112-(ED210-EF210)/($DI$112-$DX$112),"")</f>
      </c>
      <c s="69" t="str">
        <f t="shared" si="17"/>
        <v>Total US - Sears Hardware</v>
      </c>
      <c s="69" t="str">
        <f t="shared" si="18"/>
        <v>Total US - Hardware-Home</v>
      </c>
      <c s="77"/>
    </row>
    <row r="211" spans="1:141" s="92" customFormat="1" ht="15">
      <c r="A2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211,$AL$8:$AL$15,1,FALSE))=TRUE,IF(AND(CV211=CW211,CV211&lt;&gt;"",DI$111&lt;&gt;"",DK211&lt;&gt;""),IF(CW$101="Y",DK211-IF(ISERROR(VLOOKUP(CV211,$CA$113:$DK$300,37,FALSE))=TRUE,0,IF(VLOOKUP(CV211,$CA$113:$DK$300,37,FALSE)="",0,VLOOKUP(CV211,$CA$113:$DK$300,37,FALSE))),DK211-IF(AND(CW$102="Y",CV211=$CW$111),DI$111,0)),""),"")</f>
      </c>
      <c s="76">
        <f>IF(ISERROR(VLOOKUP(CV211,$AL$8:$AL$15,1,FALSE))=TRUE,IF(CB211&lt;&gt;"",IF(CB211&gt;0,IF(Z$4&lt;&gt;"",MIN(4,RANK(CB211,$CB$111:$CB$300)),RANK(CB211,$CB$111:$CB$300)),""),""),"")</f>
      </c>
      <c s="75">
        <f>IF(ISERROR(VLOOKUP(CV211,$AL$8:$AL$15,1,FALSE))=TRUE,IF(AND(ISERROR(FIND("NeighMkt",$CX$102))=FALSE,LEFT($CW$111,10)="ALL OUTLET",$CA211&lt;&gt;"",DK211&lt;&gt;""),"",IF(AND($CV211&lt;&gt;$CW211,$CW211=CD$110),$DK211,"")),"")</f>
      </c>
      <c s="76">
        <f>IF(ISERROR(VLOOKUP(CV211,$AL$8:$AL$15,1,FALSE))=TRUE,IF(CD211&lt;&gt;"",IF(CD211&gt;0,RANK(CD211,$CD$111:$CD$300),""),""),"")</f>
      </c>
      <c s="75">
        <f>IF(ISERROR(VLOOKUP(CV211,$AL$8:$AL$15,1,FALSE))=TRUE,IF(AND(ISERROR(FIND("NeighMkt",$CX$102))=FALSE,LEFT($CW$111,10)="ALL OUTLET",$CA211&lt;&gt;"",DK211&lt;&gt;""),"",IF(AND($CV211&lt;&gt;$CW211,$CW211=CF$110),$DK211,"")),"")</f>
      </c>
      <c s="76">
        <f>IF(ISERROR(VLOOKUP(CV211,$AL$8:$AL$15,1,FALSE))=TRUE,IF(CF211&lt;&gt;"",IF(CF211&gt;0,RANK(CF211,$CF$111:$CF$300),""),""),"")</f>
      </c>
      <c s="75">
        <f>IF(ISERROR(VLOOKUP(CV211,$AL$8:$AL$15,1,FALSE))=TRUE,IF(AND(ISERROR(FIND("NeighMkt",$CX$102))=FALSE,LEFT($CW$111,10)="ALL OUTLET",$CA211&lt;&gt;"",DK211&lt;&gt;""),"",IF(AND($CV211&lt;&gt;$CW211,$CW211=CH$110),$DK211,"")),"")</f>
      </c>
      <c s="76">
        <f>IF(ISERROR(VLOOKUP(CV211,$AL$8:$AL$15,1,FALSE))=TRUE,IF(CH211&lt;&gt;"",IF(CH211&gt;0,RANK(CH211,$CH$111:$CH$300),""),""),"")</f>
      </c>
      <c s="75">
        <f>IF(ISERROR(VLOOKUP(CV211,$AL$8:$AL$15,1,FALSE))=TRUE,IF(AND(ISERROR(FIND("NeighMkt",$CX$102))=FALSE,LEFT($CW$111,10)="ALL OUTLET",$CA211&lt;&gt;"",DK211&lt;&gt;""),"",IF($Z$4="",IF(AND($CV211&lt;&gt;$CW211,$CW211=CJ$110),$DK211,""),IF(AND($CV211&lt;&gt;$CW211,$CW211&lt;&gt;CD$110,$CW211&lt;&gt;CF$110,$CW211&lt;&gt;CH$110,$CW211&lt;&gt;$CV$111),$DK211,""))),"")</f>
      </c>
      <c s="76">
        <f>IF(ISERROR(VLOOKUP(CV211,$AL$8:$AL$15,1,FALSE))=TRUE,IF(CJ211&lt;&gt;"",IF(CJ211&gt;0,RANK(CJ211,$CJ$111:$CJ$300),""),""),"")</f>
      </c>
      <c s="75">
        <f>IF(ISERROR(VLOOKUP(CV211,$AL$8:$AL$15,1,FALSE))=TRUE,IF(AND(CV211=CW211,CV211&lt;&gt;"",DJ211&lt;&gt;""),IF(AND(ISERROR(FIND("NeighMkt",$CX$102))=FALSE,LEFT($CW$111,10)="ALL OUTLET"),DJ211-IF(ISERROR(VLOOKUP(CV211,$CA$113:$DK$300,36,FALSE))=TRUE,0,IF(VLOOKUP(CV211,$CA$113:$DK$300,36,FALSE)="",0,VLOOKUP(CV211,$CA$113:$DK$300,36,FALSE))),DJ211),""),"")</f>
      </c>
      <c s="76">
        <f>IF(ISERROR(VLOOKUP(CV211,$AL$8:$AL$15,1,FALSE))=TRUE,IF(CL211&lt;&gt;"",IF(CL211&gt;0,IF($Z$4&lt;&gt;"",MIN(4,RANK(CL211,$CL$111:$CL$300)),RANK(CL211,$CL$111:$CL$300)),""),""),"")</f>
      </c>
      <c s="75">
        <f>IF(ISERROR(VLOOKUP(CV211,$AL$8:$AL$15,1,FALSE))=TRUE,IF(AND(ISERROR(FIND("NeighMkt",$CX$102))=FALSE,LEFT($CW$111,10)="ALL OUTLET",$CA211&lt;&gt;"",DJ211&lt;&gt;""),"",IF(AND($CV211&lt;&gt;$CW211,$CW211=CN$110),$DJ211,"")),"")</f>
      </c>
      <c s="76">
        <f>IF(ISERROR(VLOOKUP(CV211,$AL$8:$AL$15,1,FALSE))=TRUE,IF(CN211&lt;&gt;"",IF(CN211&gt;0,RANK(CN211,$CN$111:$CN$300),""),""),"")</f>
      </c>
      <c s="75">
        <f>IF(ISERROR(VLOOKUP(CV211,$AL$8:$AL$15,1,FALSE))=TRUE,IF(AND(ISERROR(FIND("NeighMkt",$CX$102))=FALSE,LEFT($CW$111,10)="ALL OUTLET",$CA211&lt;&gt;"",DJ211&lt;&gt;""),"",IF(AND($CV211&lt;&gt;$CW211,$CW211=CP$110),$DJ211,"")),"")</f>
      </c>
      <c s="76">
        <f>IF(ISERROR(VLOOKUP(CV211,$AL$8:$AL$15,1,FALSE))=TRUE,IF(CP211&lt;&gt;"",IF(CP211&gt;0,RANK(CP211,$CP$111:$CP$300),""),""),"")</f>
      </c>
      <c s="75">
        <f>IF(ISERROR(VLOOKUP(CV211,$AL$8:$AL$15,1,FALSE))=TRUE,IF(AND(ISERROR(FIND("NeighMkt",$CX$102))=FALSE,LEFT($CW$111,10)="ALL OUTLET",$CA211&lt;&gt;"",DJ211&lt;&gt;""),"",IF(AND($CV211&lt;&gt;$CW211,$CW211=CR$110),$DJ211,"")),"")</f>
      </c>
      <c s="76">
        <f>IF(ISERROR(VLOOKUP(CV211,$AL$8:$AL$15,1,FALSE))=TRUE,IF(CR211&lt;&gt;"",IF(CR211&gt;0,RANK(CR211,$CR$111:$CR$300),""),""),"")</f>
      </c>
      <c s="75">
        <f>IF(ISERROR(VLOOKUP(CV211,$AL$8:$AL$15,1,FALSE))=TRUE,IF(AND(ISERROR(FIND("NeighMkt",$CX$102))=FALSE,LEFT($CW$111,10)="ALL OUTLET",$CA211&lt;&gt;"",DJ211&lt;&gt;""),"",IF($Z$4="",IF(AND($CV211&lt;&gt;$CW211,$CW211=CT$110),$DJ211,""),IF(AND($CV211&lt;&gt;$CW211,$CW211&lt;&gt;CN$110,$CW211&lt;&gt;CP$110,$CW211&lt;&gt;CR$110,$CW211&lt;&gt;$CV$111),$DJ211,""))),"")</f>
      </c>
      <c s="76">
        <f>IF(ISERROR(VLOOKUP(CV211,$AL$8:$AL$15,1,FALSE))=TRUE,IF(CT211&lt;&gt;"",IF(CT211&gt;0,RANK(CT211,$CT$111:$CT$300),""),""),"")</f>
      </c>
      <c s="65" t="str">
        <f t="shared" si="19"/>
        <v>True Value</v>
      </c>
      <c s="65" t="str">
        <f t="shared" si="20"/>
        <v>Hardware-Home</v>
      </c>
      <c s="72" t="str">
        <f>IF('[1]Leakage Tree Data'!A110&lt;&gt;"",'[1]Leakage Tree Data'!A110,"")</f>
        <v>Total US - True Value</v>
      </c>
      <c s="72" t="str">
        <f>IF('[1]Leakage Tree Data'!B110&lt;&gt;"",'[1]Leakage Tree Data'!B110,"")</f>
        <v>Total US - Hardware-Home</v>
      </c>
      <c s="72">
        <f>IF('[1]Leakage Tree Data'!C110&lt;&gt;"",'[1]Leakage Tree Data'!C110,"")</f>
        <v>121171760.292236</v>
      </c>
      <c s="72">
        <f>IF('[1]Leakage Tree Data'!D110&lt;&gt;"",'[1]Leakage Tree Data'!D110,"")</f>
        <v>3484356.33636475</v>
      </c>
      <c s="72">
        <f>IF('[1]Leakage Tree Data'!E110&lt;&gt;"",'[1]Leakage Tree Data'!E110,"")</f>
        <v>2.87555147169715</v>
      </c>
      <c s="72">
        <f>IF('[1]Leakage Tree Data'!F110&lt;&gt;"",'[1]Leakage Tree Data'!F110,"")</f>
        <v>117687403.955872</v>
      </c>
      <c s="72">
        <f>IF('[1]Leakage Tree Data'!G110&lt;&gt;"",'[1]Leakage Tree Data'!G110,"")</f>
        <v>97.1244485283029</v>
      </c>
      <c s="72">
        <f>IF('[1]Leakage Tree Data'!H110&lt;&gt;"",'[1]Leakage Tree Data'!H110,"")</f>
        <v>61518209.9918823</v>
      </c>
      <c s="72" t="str">
        <f>IF('[1]Leakage Tree Data'!I110&lt;&gt;"",'[1]Leakage Tree Data'!I110,"")</f>
        <v>Hardware-Home</v>
      </c>
      <c s="72">
        <f>IF('[1]Leakage Tree Data'!J110&lt;&gt;"",'[1]Leakage Tree Data'!J110,"")</f>
      </c>
      <c s="72">
        <f>IF('[1]Leakage Tree Data'!K110&lt;&gt;"",'[1]Leakage Tree Data'!K110,"")</f>
      </c>
      <c s="72">
        <f>IF('[1]Leakage Tree Data'!L110&lt;&gt;"",'[1]Leakage Tree Data'!L110,"")</f>
      </c>
      <c s="72">
        <f>IF('[1]Leakage Tree Data'!M110&lt;&gt;"",'[1]Leakage Tree Data'!M110,"")</f>
      </c>
      <c s="72">
        <f>IF('[1]Leakage Tree Data'!N110&lt;&gt;"",'[1]Leakage Tree Data'!N110,"")</f>
      </c>
      <c s="72">
        <f>IF('[1]Leakage Tree Data'!O110&lt;&gt;"",'[1]Leakage Tree Data'!O110,"")</f>
      </c>
      <c s="72">
        <f>IF('[1]Leakage Tree Data'!P110&lt;&gt;"",'[1]Leakage Tree Data'!P110,"")</f>
      </c>
      <c s="72">
        <f>IF('[1]Leakage Tree Data'!Q110&lt;&gt;"",'[1]Leakage Tree Data'!Q110,"")</f>
      </c>
      <c s="72">
        <f>IF('[1]Leakage Tree Data'!R110&lt;&gt;"",'[1]Leakage Tree Data'!R110,"")</f>
        <v>1017625.85098267</v>
      </c>
      <c s="72">
        <f>IF('[1]Leakage Tree Data'!S110&lt;&gt;"",'[1]Leakage Tree Data'!S110,"")</f>
        <v>-95714.9834289551</v>
      </c>
      <c s="72">
        <f>IF('[1]Leakage Tree Data'!T110&lt;&gt;"",'[1]Leakage Tree Data'!T110,"")</f>
        <v>-0.104014180739126</v>
      </c>
      <c s="72">
        <f>IF('[1]Leakage Tree Data'!U110&lt;&gt;"",'[1]Leakage Tree Data'!U110,"")</f>
        <v>1113340.83441162</v>
      </c>
      <c s="72">
        <f>IF('[1]Leakage Tree Data'!V110&lt;&gt;"",'[1]Leakage Tree Data'!V110,"")</f>
        <v>0.104014180739128</v>
      </c>
      <c s="72">
        <f>IF('[1]Leakage Tree Data'!W110&lt;&gt;"",'[1]Leakage Tree Data'!W110,"")</f>
        <v>-1855949.2237854</v>
      </c>
      <c s="72">
        <f>IF('[1]Leakage Tree Data'!X110&lt;&gt;"",'[1]Leakage Tree Data'!X110,"")</f>
      </c>
      <c s="72">
        <f>IF('[1]Leakage Tree Data'!Y110&lt;&gt;"",'[1]Leakage Tree Data'!Y110,"")</f>
      </c>
      <c s="72">
        <f>IF('[1]Leakage Tree Data'!Z110&lt;&gt;"",'[1]Leakage Tree Data'!Z110,"")</f>
      </c>
      <c s="72">
        <f>IF('[1]Leakage Tree Data'!AA110&lt;&gt;"",'[1]Leakage Tree Data'!AA110,"")</f>
      </c>
      <c s="72">
        <f>IF('[1]Leakage Tree Data'!AB110&lt;&gt;"",'[1]Leakage Tree Data'!AB110,"")</f>
      </c>
      <c s="72">
        <f>IF('[1]Leakage Tree Data'!AC110&lt;&gt;"",'[1]Leakage Tree Data'!AC110,"")</f>
      </c>
      <c s="72">
        <f>IF('[1]Leakage Tree Data'!AD110&lt;&gt;"",'[1]Leakage Tree Data'!AD110,"")</f>
      </c>
      <c s="72">
        <f>IF('[1]Leakage Tree Data'!AE110&lt;&gt;"",'[1]Leakage Tree Data'!AE110,"")</f>
      </c>
      <c s="73">
        <f t="shared" si="28"/>
      </c>
      <c s="73">
        <f t="shared" si="29"/>
      </c>
      <c s="73">
        <f t="shared" si="30"/>
      </c>
      <c s="73">
        <f t="shared" si="31"/>
      </c>
      <c s="74">
        <f t="shared" si="32"/>
      </c>
      <c s="74">
        <f t="shared" si="33"/>
      </c>
      <c s="69" t="str">
        <f t="shared" si="17"/>
        <v>Total US - True Value</v>
      </c>
      <c s="69" t="str">
        <f t="shared" si="18"/>
        <v>Total US - Hardware-Home</v>
      </c>
      <c s="77"/>
    </row>
    <row r="212" spans="1:141" s="92" customFormat="1" ht="15">
      <c r="A2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212,$AL$8:$AL$15,1,FALSE))=TRUE,IF(AND(CV212=CW212,CV212&lt;&gt;"",DI$111&lt;&gt;"",DK212&lt;&gt;""),IF(CW$101="Y",DK212-IF(ISERROR(VLOOKUP(CV212,$CA$113:$DK$300,37,FALSE))=TRUE,0,IF(VLOOKUP(CV212,$CA$113:$DK$300,37,FALSE)="",0,VLOOKUP(CV212,$CA$113:$DK$300,37,FALSE))),DK212-IF(AND(CW$102="Y",CV212=$CW$111),DI$111,0)),""),"")</f>
      </c>
      <c s="76">
        <f>IF(ISERROR(VLOOKUP(CV212,$AL$8:$AL$15,1,FALSE))=TRUE,IF(CB212&lt;&gt;"",IF(CB212&gt;0,IF(Z$4&lt;&gt;"",MIN(4,RANK(CB212,$CB$111:$CB$300)),RANK(CB212,$CB$111:$CB$300)),""),""),"")</f>
      </c>
      <c s="75">
        <f>IF(ISERROR(VLOOKUP(CV212,$AL$8:$AL$15,1,FALSE))=TRUE,IF(AND(ISERROR(FIND("NeighMkt",$CX$102))=FALSE,LEFT($CW$111,10)="ALL OUTLET",$CA212&lt;&gt;"",DK212&lt;&gt;""),"",IF(AND($CV212&lt;&gt;$CW212,$CW212=CD$110),$DK212,"")),"")</f>
      </c>
      <c s="76">
        <f>IF(ISERROR(VLOOKUP(CV212,$AL$8:$AL$15,1,FALSE))=TRUE,IF(CD212&lt;&gt;"",IF(CD212&gt;0,RANK(CD212,$CD$111:$CD$300),""),""),"")</f>
      </c>
      <c s="75">
        <f>IF(ISERROR(VLOOKUP(CV212,$AL$8:$AL$15,1,FALSE))=TRUE,IF(AND(ISERROR(FIND("NeighMkt",$CX$102))=FALSE,LEFT($CW$111,10)="ALL OUTLET",$CA212&lt;&gt;"",DK212&lt;&gt;""),"",IF(AND($CV212&lt;&gt;$CW212,$CW212=CF$110),$DK212,"")),"")</f>
      </c>
      <c s="76">
        <f>IF(ISERROR(VLOOKUP(CV212,$AL$8:$AL$15,1,FALSE))=TRUE,IF(CF212&lt;&gt;"",IF(CF212&gt;0,RANK(CF212,$CF$111:$CF$300),""),""),"")</f>
      </c>
      <c s="75">
        <f>IF(ISERROR(VLOOKUP(CV212,$AL$8:$AL$15,1,FALSE))=TRUE,IF(AND(ISERROR(FIND("NeighMkt",$CX$102))=FALSE,LEFT($CW$111,10)="ALL OUTLET",$CA212&lt;&gt;"",DK212&lt;&gt;""),"",IF(AND($CV212&lt;&gt;$CW212,$CW212=CH$110),$DK212,"")),"")</f>
      </c>
      <c s="76">
        <f>IF(ISERROR(VLOOKUP(CV212,$AL$8:$AL$15,1,FALSE))=TRUE,IF(CH212&lt;&gt;"",IF(CH212&gt;0,RANK(CH212,$CH$111:$CH$300),""),""),"")</f>
      </c>
      <c s="75">
        <f>IF(ISERROR(VLOOKUP(CV212,$AL$8:$AL$15,1,FALSE))=TRUE,IF(AND(ISERROR(FIND("NeighMkt",$CX$102))=FALSE,LEFT($CW$111,10)="ALL OUTLET",$CA212&lt;&gt;"",DK212&lt;&gt;""),"",IF($Z$4="",IF(AND($CV212&lt;&gt;$CW212,$CW212=CJ$110),$DK212,""),IF(AND($CV212&lt;&gt;$CW212,$CW212&lt;&gt;CD$110,$CW212&lt;&gt;CF$110,$CW212&lt;&gt;CH$110,$CW212&lt;&gt;$CV$111),$DK212,""))),"")</f>
      </c>
      <c s="76">
        <f>IF(ISERROR(VLOOKUP(CV212,$AL$8:$AL$15,1,FALSE))=TRUE,IF(CJ212&lt;&gt;"",IF(CJ212&gt;0,RANK(CJ212,$CJ$111:$CJ$300),""),""),"")</f>
      </c>
      <c s="75">
        <f>IF(ISERROR(VLOOKUP(CV212,$AL$8:$AL$15,1,FALSE))=TRUE,IF(AND(CV212=CW212,CV212&lt;&gt;"",DJ212&lt;&gt;""),IF(AND(ISERROR(FIND("NeighMkt",$CX$102))=FALSE,LEFT($CW$111,10)="ALL OUTLET"),DJ212-IF(ISERROR(VLOOKUP(CV212,$CA$113:$DK$300,36,FALSE))=TRUE,0,IF(VLOOKUP(CV212,$CA$113:$DK$300,36,FALSE)="",0,VLOOKUP(CV212,$CA$113:$DK$300,36,FALSE))),DJ212),""),"")</f>
      </c>
      <c s="76">
        <f>IF(ISERROR(VLOOKUP(CV212,$AL$8:$AL$15,1,FALSE))=TRUE,IF(CL212&lt;&gt;"",IF(CL212&gt;0,IF($Z$4&lt;&gt;"",MIN(4,RANK(CL212,$CL$111:$CL$300)),RANK(CL212,$CL$111:$CL$300)),""),""),"")</f>
      </c>
      <c s="75">
        <f>IF(ISERROR(VLOOKUP(CV212,$AL$8:$AL$15,1,FALSE))=TRUE,IF(AND(ISERROR(FIND("NeighMkt",$CX$102))=FALSE,LEFT($CW$111,10)="ALL OUTLET",$CA212&lt;&gt;"",DJ212&lt;&gt;""),"",IF(AND($CV212&lt;&gt;$CW212,$CW212=CN$110),$DJ212,"")),"")</f>
      </c>
      <c s="76">
        <f>IF(ISERROR(VLOOKUP(CV212,$AL$8:$AL$15,1,FALSE))=TRUE,IF(CN212&lt;&gt;"",IF(CN212&gt;0,RANK(CN212,$CN$111:$CN$300),""),""),"")</f>
      </c>
      <c s="75">
        <f>IF(ISERROR(VLOOKUP(CV212,$AL$8:$AL$15,1,FALSE))=TRUE,IF(AND(ISERROR(FIND("NeighMkt",$CX$102))=FALSE,LEFT($CW$111,10)="ALL OUTLET",$CA212&lt;&gt;"",DJ212&lt;&gt;""),"",IF(AND($CV212&lt;&gt;$CW212,$CW212=CP$110),$DJ212,"")),"")</f>
      </c>
      <c s="76">
        <f>IF(ISERROR(VLOOKUP(CV212,$AL$8:$AL$15,1,FALSE))=TRUE,IF(CP212&lt;&gt;"",IF(CP212&gt;0,RANK(CP212,$CP$111:$CP$300),""),""),"")</f>
      </c>
      <c s="75">
        <f>IF(ISERROR(VLOOKUP(CV212,$AL$8:$AL$15,1,FALSE))=TRUE,IF(AND(ISERROR(FIND("NeighMkt",$CX$102))=FALSE,LEFT($CW$111,10)="ALL OUTLET",$CA212&lt;&gt;"",DJ212&lt;&gt;""),"",IF(AND($CV212&lt;&gt;$CW212,$CW212=CR$110),$DJ212,"")),"")</f>
      </c>
      <c s="76">
        <f>IF(ISERROR(VLOOKUP(CV212,$AL$8:$AL$15,1,FALSE))=TRUE,IF(CR212&lt;&gt;"",IF(CR212&gt;0,RANK(CR212,$CR$111:$CR$300),""),""),"")</f>
      </c>
      <c s="75">
        <f>IF(ISERROR(VLOOKUP(CV212,$AL$8:$AL$15,1,FALSE))=TRUE,IF(AND(ISERROR(FIND("NeighMkt",$CX$102))=FALSE,LEFT($CW$111,10)="ALL OUTLET",$CA212&lt;&gt;"",DJ212&lt;&gt;""),"",IF($Z$4="",IF(AND($CV212&lt;&gt;$CW212,$CW212=CT$110),$DJ212,""),IF(AND($CV212&lt;&gt;$CW212,$CW212&lt;&gt;CN$110,$CW212&lt;&gt;CP$110,$CW212&lt;&gt;CR$110,$CW212&lt;&gt;$CV$111),$DJ212,""))),"")</f>
      </c>
      <c s="76">
        <f>IF(ISERROR(VLOOKUP(CV212,$AL$8:$AL$15,1,FALSE))=TRUE,IF(CT212&lt;&gt;"",IF(CT212&gt;0,RANK(CT212,$CT$111:$CT$300),""),""),"")</f>
      </c>
      <c s="65" t="str">
        <f t="shared" si="19"/>
        <v>Health/Vitamin</v>
      </c>
      <c s="65" t="str">
        <f t="shared" si="20"/>
        <v>Health/Vitamin</v>
      </c>
      <c s="72" t="str">
        <f>IF('[1]Leakage Tree Data'!A111&lt;&gt;"",'[1]Leakage Tree Data'!A111,"")</f>
        <v>Total US - Health/Vitamin</v>
      </c>
      <c s="72" t="str">
        <f>IF('[1]Leakage Tree Data'!B111&lt;&gt;"",'[1]Leakage Tree Data'!B111,"")</f>
        <v>Total US - Health/Vitamin</v>
      </c>
      <c s="72">
        <f>IF('[1]Leakage Tree Data'!C111&lt;&gt;"",'[1]Leakage Tree Data'!C111,"")</f>
        <v>121171760.292236</v>
      </c>
      <c s="72">
        <f>IF('[1]Leakage Tree Data'!D111&lt;&gt;"",'[1]Leakage Tree Data'!D111,"")</f>
        <v>9982051.37780762</v>
      </c>
      <c s="72">
        <f>IF('[1]Leakage Tree Data'!E111&lt;&gt;"",'[1]Leakage Tree Data'!E111,"")</f>
        <v>8.23793543457104</v>
      </c>
      <c s="72">
        <f>IF('[1]Leakage Tree Data'!F111&lt;&gt;"",'[1]Leakage Tree Data'!F111,"")</f>
        <v>111189708.914429</v>
      </c>
      <c s="72">
        <f>IF('[1]Leakage Tree Data'!G111&lt;&gt;"",'[1]Leakage Tree Data'!G111,"")</f>
        <v>91.762064565429</v>
      </c>
      <c s="72">
        <f>IF('[1]Leakage Tree Data'!H111&lt;&gt;"",'[1]Leakage Tree Data'!H111,"")</f>
        <v>61518209.9918823</v>
      </c>
      <c s="72" t="str">
        <f>IF('[1]Leakage Tree Data'!I111&lt;&gt;"",'[1]Leakage Tree Data'!I111,"")</f>
        <v>Health/Vitamin</v>
      </c>
      <c s="72">
        <f>IF('[1]Leakage Tree Data'!J111&lt;&gt;"",'[1]Leakage Tree Data'!J111,"")</f>
      </c>
      <c s="72">
        <f>IF('[1]Leakage Tree Data'!K111&lt;&gt;"",'[1]Leakage Tree Data'!K111,"")</f>
      </c>
      <c s="72">
        <f>IF('[1]Leakage Tree Data'!L111&lt;&gt;"",'[1]Leakage Tree Data'!L111,"")</f>
      </c>
      <c s="72">
        <f>IF('[1]Leakage Tree Data'!M111&lt;&gt;"",'[1]Leakage Tree Data'!M111,"")</f>
      </c>
      <c s="72">
        <f>IF('[1]Leakage Tree Data'!N111&lt;&gt;"",'[1]Leakage Tree Data'!N111,"")</f>
      </c>
      <c s="72">
        <f>IF('[1]Leakage Tree Data'!O111&lt;&gt;"",'[1]Leakage Tree Data'!O111,"")</f>
      </c>
      <c s="72">
        <f>IF('[1]Leakage Tree Data'!P111&lt;&gt;"",'[1]Leakage Tree Data'!P111,"")</f>
      </c>
      <c s="72">
        <f>IF('[1]Leakage Tree Data'!Q111&lt;&gt;"",'[1]Leakage Tree Data'!Q111,"")</f>
      </c>
      <c s="72">
        <f>IF('[1]Leakage Tree Data'!R111&lt;&gt;"",'[1]Leakage Tree Data'!R111,"")</f>
        <v>1017625.85098267</v>
      </c>
      <c s="72">
        <f>IF('[1]Leakage Tree Data'!S111&lt;&gt;"",'[1]Leakage Tree Data'!S111,"")</f>
        <v>-1352538.77322388</v>
      </c>
      <c s="72">
        <f>IF('[1]Leakage Tree Data'!T111&lt;&gt;"",'[1]Leakage Tree Data'!T111,"")</f>
        <v>-1.19543962467277</v>
      </c>
      <c s="72">
        <f>IF('[1]Leakage Tree Data'!U111&lt;&gt;"",'[1]Leakage Tree Data'!U111,"")</f>
        <v>2370164.62420654</v>
      </c>
      <c s="72">
        <f>IF('[1]Leakage Tree Data'!V111&lt;&gt;"",'[1]Leakage Tree Data'!V111,"")</f>
        <v>1.19543962467276</v>
      </c>
      <c s="72">
        <f>IF('[1]Leakage Tree Data'!W111&lt;&gt;"",'[1]Leakage Tree Data'!W111,"")</f>
        <v>-1855949.2237854</v>
      </c>
      <c s="72">
        <f>IF('[1]Leakage Tree Data'!X111&lt;&gt;"",'[1]Leakage Tree Data'!X111,"")</f>
      </c>
      <c s="72">
        <f>IF('[1]Leakage Tree Data'!Y111&lt;&gt;"",'[1]Leakage Tree Data'!Y111,"")</f>
      </c>
      <c s="72">
        <f>IF('[1]Leakage Tree Data'!Z111&lt;&gt;"",'[1]Leakage Tree Data'!Z111,"")</f>
      </c>
      <c s="72">
        <f>IF('[1]Leakage Tree Data'!AA111&lt;&gt;"",'[1]Leakage Tree Data'!AA111,"")</f>
      </c>
      <c s="72">
        <f>IF('[1]Leakage Tree Data'!AB111&lt;&gt;"",'[1]Leakage Tree Data'!AB111,"")</f>
      </c>
      <c s="72">
        <f>IF('[1]Leakage Tree Data'!AC111&lt;&gt;"",'[1]Leakage Tree Data'!AC111,"")</f>
      </c>
      <c s="72">
        <f>IF('[1]Leakage Tree Data'!AD111&lt;&gt;"",'[1]Leakage Tree Data'!AD111,"")</f>
      </c>
      <c s="72">
        <f>IF('[1]Leakage Tree Data'!AE111&lt;&gt;"",'[1]Leakage Tree Data'!AE111,"")</f>
      </c>
      <c s="73">
        <f t="shared" si="28"/>
      </c>
      <c s="73">
        <f t="shared" si="29"/>
      </c>
      <c s="73">
        <f t="shared" si="30"/>
      </c>
      <c s="73">
        <f t="shared" si="31"/>
      </c>
      <c s="74">
        <f t="shared" si="32"/>
      </c>
      <c s="74">
        <f t="shared" si="33"/>
      </c>
      <c s="69" t="str">
        <f t="shared" si="17"/>
        <v>Total US - Health/Vitamin</v>
      </c>
      <c s="69" t="str">
        <f t="shared" si="18"/>
        <v>Total US - Health/Vitamin</v>
      </c>
      <c s="77"/>
    </row>
    <row r="213" spans="1:141" s="92" customFormat="1" ht="15">
      <c r="A2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213,$AL$8:$AL$15,1,FALSE))=TRUE,IF(AND(CV213=CW213,CV213&lt;&gt;"",DI$111&lt;&gt;"",DK213&lt;&gt;""),IF(CW$101="Y",DK213-IF(ISERROR(VLOOKUP(CV213,$CA$113:$DK$300,37,FALSE))=TRUE,0,IF(VLOOKUP(CV213,$CA$113:$DK$300,37,FALSE)="",0,VLOOKUP(CV213,$CA$113:$DK$300,37,FALSE))),DK213-IF(AND(CW$102="Y",CV213=$CW$111),DI$111,0)),""),"")</f>
      </c>
      <c s="76">
        <f>IF(ISERROR(VLOOKUP(CV213,$AL$8:$AL$15,1,FALSE))=TRUE,IF(CB213&lt;&gt;"",IF(CB213&gt;0,IF(Z$4&lt;&gt;"",MIN(4,RANK(CB213,$CB$111:$CB$300)),RANK(CB213,$CB$111:$CB$300)),""),""),"")</f>
      </c>
      <c s="75">
        <f>IF(ISERROR(VLOOKUP(CV213,$AL$8:$AL$15,1,FALSE))=TRUE,IF(AND(ISERROR(FIND("NeighMkt",$CX$102))=FALSE,LEFT($CW$111,10)="ALL OUTLET",$CA213&lt;&gt;"",DK213&lt;&gt;""),"",IF(AND($CV213&lt;&gt;$CW213,$CW213=CD$110),$DK213,"")),"")</f>
      </c>
      <c s="76">
        <f>IF(ISERROR(VLOOKUP(CV213,$AL$8:$AL$15,1,FALSE))=TRUE,IF(CD213&lt;&gt;"",IF(CD213&gt;0,RANK(CD213,$CD$111:$CD$300),""),""),"")</f>
      </c>
      <c s="75">
        <f>IF(ISERROR(VLOOKUP(CV213,$AL$8:$AL$15,1,FALSE))=TRUE,IF(AND(ISERROR(FIND("NeighMkt",$CX$102))=FALSE,LEFT($CW$111,10)="ALL OUTLET",$CA213&lt;&gt;"",DK213&lt;&gt;""),"",IF(AND($CV213&lt;&gt;$CW213,$CW213=CF$110),$DK213,"")),"")</f>
      </c>
      <c s="76">
        <f>IF(ISERROR(VLOOKUP(CV213,$AL$8:$AL$15,1,FALSE))=TRUE,IF(CF213&lt;&gt;"",IF(CF213&gt;0,RANK(CF213,$CF$111:$CF$300),""),""),"")</f>
      </c>
      <c s="75">
        <f>IF(ISERROR(VLOOKUP(CV213,$AL$8:$AL$15,1,FALSE))=TRUE,IF(AND(ISERROR(FIND("NeighMkt",$CX$102))=FALSE,LEFT($CW$111,10)="ALL OUTLET",$CA213&lt;&gt;"",DK213&lt;&gt;""),"",IF(AND($CV213&lt;&gt;$CW213,$CW213=CH$110),$DK213,"")),"")</f>
      </c>
      <c s="76">
        <f>IF(ISERROR(VLOOKUP(CV213,$AL$8:$AL$15,1,FALSE))=TRUE,IF(CH213&lt;&gt;"",IF(CH213&gt;0,RANK(CH213,$CH$111:$CH$300),""),""),"")</f>
      </c>
      <c s="75">
        <f>IF(ISERROR(VLOOKUP(CV213,$AL$8:$AL$15,1,FALSE))=TRUE,IF(AND(ISERROR(FIND("NeighMkt",$CX$102))=FALSE,LEFT($CW$111,10)="ALL OUTLET",$CA213&lt;&gt;"",DK213&lt;&gt;""),"",IF($Z$4="",IF(AND($CV213&lt;&gt;$CW213,$CW213=CJ$110),$DK213,""),IF(AND($CV213&lt;&gt;$CW213,$CW213&lt;&gt;CD$110,$CW213&lt;&gt;CF$110,$CW213&lt;&gt;CH$110,$CW213&lt;&gt;$CV$111),$DK213,""))),"")</f>
      </c>
      <c s="76">
        <f>IF(ISERROR(VLOOKUP(CV213,$AL$8:$AL$15,1,FALSE))=TRUE,IF(CJ213&lt;&gt;"",IF(CJ213&gt;0,RANK(CJ213,$CJ$111:$CJ$300),""),""),"")</f>
      </c>
      <c s="75">
        <f>IF(ISERROR(VLOOKUP(CV213,$AL$8:$AL$15,1,FALSE))=TRUE,IF(AND(CV213=CW213,CV213&lt;&gt;"",DJ213&lt;&gt;""),IF(AND(ISERROR(FIND("NeighMkt",$CX$102))=FALSE,LEFT($CW$111,10)="ALL OUTLET"),DJ213-IF(ISERROR(VLOOKUP(CV213,$CA$113:$DK$300,36,FALSE))=TRUE,0,IF(VLOOKUP(CV213,$CA$113:$DK$300,36,FALSE)="",0,VLOOKUP(CV213,$CA$113:$DK$300,36,FALSE))),DJ213),""),"")</f>
      </c>
      <c s="76">
        <f>IF(ISERROR(VLOOKUP(CV213,$AL$8:$AL$15,1,FALSE))=TRUE,IF(CL213&lt;&gt;"",IF(CL213&gt;0,IF($Z$4&lt;&gt;"",MIN(4,RANK(CL213,$CL$111:$CL$300)),RANK(CL213,$CL$111:$CL$300)),""),""),"")</f>
      </c>
      <c s="75">
        <f>IF(ISERROR(VLOOKUP(CV213,$AL$8:$AL$15,1,FALSE))=TRUE,IF(AND(ISERROR(FIND("NeighMkt",$CX$102))=FALSE,LEFT($CW$111,10)="ALL OUTLET",$CA213&lt;&gt;"",DJ213&lt;&gt;""),"",IF(AND($CV213&lt;&gt;$CW213,$CW213=CN$110),$DJ213,"")),"")</f>
      </c>
      <c s="76">
        <f>IF(ISERROR(VLOOKUP(CV213,$AL$8:$AL$15,1,FALSE))=TRUE,IF(CN213&lt;&gt;"",IF(CN213&gt;0,RANK(CN213,$CN$111:$CN$300),""),""),"")</f>
      </c>
      <c s="75">
        <f>IF(ISERROR(VLOOKUP(CV213,$AL$8:$AL$15,1,FALSE))=TRUE,IF(AND(ISERROR(FIND("NeighMkt",$CX$102))=FALSE,LEFT($CW$111,10)="ALL OUTLET",$CA213&lt;&gt;"",DJ213&lt;&gt;""),"",IF(AND($CV213&lt;&gt;$CW213,$CW213=CP$110),$DJ213,"")),"")</f>
      </c>
      <c s="76">
        <f>IF(ISERROR(VLOOKUP(CV213,$AL$8:$AL$15,1,FALSE))=TRUE,IF(CP213&lt;&gt;"",IF(CP213&gt;0,RANK(CP213,$CP$111:$CP$300),""),""),"")</f>
      </c>
      <c s="75">
        <f>IF(ISERROR(VLOOKUP(CV213,$AL$8:$AL$15,1,FALSE))=TRUE,IF(AND(ISERROR(FIND("NeighMkt",$CX$102))=FALSE,LEFT($CW$111,10)="ALL OUTLET",$CA213&lt;&gt;"",DJ213&lt;&gt;""),"",IF(AND($CV213&lt;&gt;$CW213,$CW213=CR$110),$DJ213,"")),"")</f>
      </c>
      <c s="76">
        <f>IF(ISERROR(VLOOKUP(CV213,$AL$8:$AL$15,1,FALSE))=TRUE,IF(CR213&lt;&gt;"",IF(CR213&gt;0,RANK(CR213,$CR$111:$CR$300),""),""),"")</f>
      </c>
      <c s="75">
        <f>IF(ISERROR(VLOOKUP(CV213,$AL$8:$AL$15,1,FALSE))=TRUE,IF(AND(ISERROR(FIND("NeighMkt",$CX$102))=FALSE,LEFT($CW$111,10)="ALL OUTLET",$CA213&lt;&gt;"",DJ213&lt;&gt;""),"",IF($Z$4="",IF(AND($CV213&lt;&gt;$CW213,$CW213=CT$110),$DJ213,""),IF(AND($CV213&lt;&gt;$CW213,$CW213&lt;&gt;CN$110,$CW213&lt;&gt;CP$110,$CW213&lt;&gt;CR$110,$CW213&lt;&gt;$CV$111),$DJ213,""))),"")</f>
      </c>
      <c s="76">
        <f>IF(ISERROR(VLOOKUP(CV213,$AL$8:$AL$15,1,FALSE))=TRUE,IF(CT213&lt;&gt;"",IF(CT213&gt;0,RANK(CT213,$CT$111:$CT$300),""),""),"")</f>
      </c>
      <c s="65" t="str">
        <f t="shared" si="19"/>
        <v>GNC</v>
      </c>
      <c s="65" t="str">
        <f t="shared" si="20"/>
        <v>Health/Vitamin</v>
      </c>
      <c s="72" t="str">
        <f>IF('[1]Leakage Tree Data'!A112&lt;&gt;"",'[1]Leakage Tree Data'!A112,"")</f>
        <v>Total US - GNC</v>
      </c>
      <c s="72" t="str">
        <f>IF('[1]Leakage Tree Data'!B112&lt;&gt;"",'[1]Leakage Tree Data'!B112,"")</f>
        <v>Total US - Health/Vitamin</v>
      </c>
      <c s="72">
        <f>IF('[1]Leakage Tree Data'!C112&lt;&gt;"",'[1]Leakage Tree Data'!C112,"")</f>
        <v>121171760.292236</v>
      </c>
      <c s="72">
        <f>IF('[1]Leakage Tree Data'!D112&lt;&gt;"",'[1]Leakage Tree Data'!D112,"")</f>
        <v>3650297.37701416</v>
      </c>
      <c s="72">
        <f>IF('[1]Leakage Tree Data'!E112&lt;&gt;"",'[1]Leakage Tree Data'!E112,"")</f>
        <v>3.01249843050109</v>
      </c>
      <c s="72">
        <f>IF('[1]Leakage Tree Data'!F112&lt;&gt;"",'[1]Leakage Tree Data'!F112,"")</f>
        <v>117521462.915222</v>
      </c>
      <c s="72">
        <f>IF('[1]Leakage Tree Data'!G112&lt;&gt;"",'[1]Leakage Tree Data'!G112,"")</f>
        <v>96.9875015694989</v>
      </c>
      <c s="72">
        <f>IF('[1]Leakage Tree Data'!H112&lt;&gt;"",'[1]Leakage Tree Data'!H112,"")</f>
        <v>61518209.9918823</v>
      </c>
      <c s="72" t="str">
        <f>IF('[1]Leakage Tree Data'!I112&lt;&gt;"",'[1]Leakage Tree Data'!I112,"")</f>
        <v>Health/Vitamin</v>
      </c>
      <c s="72">
        <f>IF('[1]Leakage Tree Data'!J112&lt;&gt;"",'[1]Leakage Tree Data'!J112,"")</f>
      </c>
      <c s="72">
        <f>IF('[1]Leakage Tree Data'!K112&lt;&gt;"",'[1]Leakage Tree Data'!K112,"")</f>
      </c>
      <c s="72">
        <f>IF('[1]Leakage Tree Data'!L112&lt;&gt;"",'[1]Leakage Tree Data'!L112,"")</f>
      </c>
      <c s="72">
        <f>IF('[1]Leakage Tree Data'!M112&lt;&gt;"",'[1]Leakage Tree Data'!M112,"")</f>
      </c>
      <c s="72">
        <f>IF('[1]Leakage Tree Data'!N112&lt;&gt;"",'[1]Leakage Tree Data'!N112,"")</f>
      </c>
      <c s="72">
        <f>IF('[1]Leakage Tree Data'!O112&lt;&gt;"",'[1]Leakage Tree Data'!O112,"")</f>
      </c>
      <c s="72">
        <f>IF('[1]Leakage Tree Data'!P112&lt;&gt;"",'[1]Leakage Tree Data'!P112,"")</f>
      </c>
      <c s="72">
        <f>IF('[1]Leakage Tree Data'!Q112&lt;&gt;"",'[1]Leakage Tree Data'!Q112,"")</f>
      </c>
      <c s="72">
        <f>IF('[1]Leakage Tree Data'!R112&lt;&gt;"",'[1]Leakage Tree Data'!R112,"")</f>
        <v>1017625.85098267</v>
      </c>
      <c s="72">
        <f>IF('[1]Leakage Tree Data'!S112&lt;&gt;"",'[1]Leakage Tree Data'!S112,"")</f>
        <v>-663346.068054199</v>
      </c>
      <c s="72">
        <f>IF('[1]Leakage Tree Data'!T112&lt;&gt;"",'[1]Leakage Tree Data'!T112,"")</f>
        <v>-0.577593134077912</v>
      </c>
      <c s="72">
        <f>IF('[1]Leakage Tree Data'!U112&lt;&gt;"",'[1]Leakage Tree Data'!U112,"")</f>
        <v>1680971.91903687</v>
      </c>
      <c s="72">
        <f>IF('[1]Leakage Tree Data'!V112&lt;&gt;"",'[1]Leakage Tree Data'!V112,"")</f>
        <v>0.577593134077915</v>
      </c>
      <c s="72">
        <f>IF('[1]Leakage Tree Data'!W112&lt;&gt;"",'[1]Leakage Tree Data'!W112,"")</f>
        <v>-1855949.2237854</v>
      </c>
      <c s="72">
        <f>IF('[1]Leakage Tree Data'!X112&lt;&gt;"",'[1]Leakage Tree Data'!X112,"")</f>
      </c>
      <c s="72">
        <f>IF('[1]Leakage Tree Data'!Y112&lt;&gt;"",'[1]Leakage Tree Data'!Y112,"")</f>
      </c>
      <c s="72">
        <f>IF('[1]Leakage Tree Data'!Z112&lt;&gt;"",'[1]Leakage Tree Data'!Z112,"")</f>
      </c>
      <c s="72">
        <f>IF('[1]Leakage Tree Data'!AA112&lt;&gt;"",'[1]Leakage Tree Data'!AA112,"")</f>
      </c>
      <c s="72">
        <f>IF('[1]Leakage Tree Data'!AB112&lt;&gt;"",'[1]Leakage Tree Data'!AB112,"")</f>
      </c>
      <c s="72">
        <f>IF('[1]Leakage Tree Data'!AC112&lt;&gt;"",'[1]Leakage Tree Data'!AC112,"")</f>
      </c>
      <c s="72">
        <f>IF('[1]Leakage Tree Data'!AD112&lt;&gt;"",'[1]Leakage Tree Data'!AD112,"")</f>
      </c>
      <c s="72">
        <f>IF('[1]Leakage Tree Data'!AE112&lt;&gt;"",'[1]Leakage Tree Data'!AE112,"")</f>
      </c>
      <c s="73">
        <f t="shared" si="28"/>
      </c>
      <c s="73">
        <f t="shared" si="29"/>
      </c>
      <c s="73">
        <f t="shared" si="30"/>
      </c>
      <c s="73">
        <f t="shared" si="31"/>
      </c>
      <c s="74">
        <f t="shared" si="32"/>
      </c>
      <c s="74">
        <f t="shared" si="33"/>
      </c>
      <c s="69" t="str">
        <f t="shared" si="17"/>
        <v>Total US - GNC</v>
      </c>
      <c s="69" t="str">
        <f t="shared" si="18"/>
        <v>Total US - Health/Vitamin</v>
      </c>
      <c s="77"/>
    </row>
    <row r="214" spans="1:141" s="92" customFormat="1" ht="15">
      <c r="A2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214,$AL$8:$AL$15,1,FALSE))=TRUE,IF(AND(CV214=CW214,CV214&lt;&gt;"",DI$111&lt;&gt;"",DK214&lt;&gt;""),IF(CW$101="Y",DK214-IF(ISERROR(VLOOKUP(CV214,$CA$113:$DK$300,37,FALSE))=TRUE,0,IF(VLOOKUP(CV214,$CA$113:$DK$300,37,FALSE)="",0,VLOOKUP(CV214,$CA$113:$DK$300,37,FALSE))),DK214-IF(AND(CW$102="Y",CV214=$CW$111),DI$111,0)),""),"")</f>
        <v>4964319.86269379</v>
      </c>
      <c s="76">
        <f>IF(ISERROR(VLOOKUP(CV214,$AL$8:$AL$15,1,FALSE))=TRUE,IF(CB214&lt;&gt;"",IF(CB214&gt;0,IF(Z$4&lt;&gt;"",MIN(4,RANK(CB214,$CB$111:$CB$300)),RANK(CB214,$CB$111:$CB$300)),""),""),"")</f>
        <v>4</v>
      </c>
      <c s="75">
        <f>IF(ISERROR(VLOOKUP(CV214,$AL$8:$AL$15,1,FALSE))=TRUE,IF(AND(ISERROR(FIND("NeighMkt",$CX$102))=FALSE,LEFT($CW$111,10)="ALL OUTLET",$CA214&lt;&gt;"",DK214&lt;&gt;""),"",IF(AND($CV214&lt;&gt;$CW214,$CW214=CD$110),$DK214,"")),"")</f>
      </c>
      <c s="76">
        <f>IF(ISERROR(VLOOKUP(CV214,$AL$8:$AL$15,1,FALSE))=TRUE,IF(CD214&lt;&gt;"",IF(CD214&gt;0,RANK(CD214,$CD$111:$CD$300),""),""),"")</f>
      </c>
      <c s="75">
        <f>IF(ISERROR(VLOOKUP(CV214,$AL$8:$AL$15,1,FALSE))=TRUE,IF(AND(ISERROR(FIND("NeighMkt",$CX$102))=FALSE,LEFT($CW$111,10)="ALL OUTLET",$CA214&lt;&gt;"",DK214&lt;&gt;""),"",IF(AND($CV214&lt;&gt;$CW214,$CW214=CF$110),$DK214,"")),"")</f>
      </c>
      <c s="76">
        <f>IF(ISERROR(VLOOKUP(CV214,$AL$8:$AL$15,1,FALSE))=TRUE,IF(CF214&lt;&gt;"",IF(CF214&gt;0,RANK(CF214,$CF$111:$CF$300),""),""),"")</f>
      </c>
      <c s="75">
        <f>IF(ISERROR(VLOOKUP(CV214,$AL$8:$AL$15,1,FALSE))=TRUE,IF(AND(ISERROR(FIND("NeighMkt",$CX$102))=FALSE,LEFT($CW$111,10)="ALL OUTLET",$CA214&lt;&gt;"",DK214&lt;&gt;""),"",IF(AND($CV214&lt;&gt;$CW214,$CW214=CH$110),$DK214,"")),"")</f>
      </c>
      <c s="76">
        <f>IF(ISERROR(VLOOKUP(CV214,$AL$8:$AL$15,1,FALSE))=TRUE,IF(CH214&lt;&gt;"",IF(CH214&gt;0,RANK(CH214,$CH$111:$CH$300),""),""),"")</f>
      </c>
      <c s="75">
        <f>IF(ISERROR(VLOOKUP(CV214,$AL$8:$AL$15,1,FALSE))=TRUE,IF(AND(ISERROR(FIND("NeighMkt",$CX$102))=FALSE,LEFT($CW$111,10)="ALL OUTLET",$CA214&lt;&gt;"",DK214&lt;&gt;""),"",IF($Z$4="",IF(AND($CV214&lt;&gt;$CW214,$CW214=CJ$110),$DK214,""),IF(AND($CV214&lt;&gt;$CW214,$CW214&lt;&gt;CD$110,$CW214&lt;&gt;CF$110,$CW214&lt;&gt;CH$110,$CW214&lt;&gt;$CV$111),$DK214,""))),"")</f>
      </c>
      <c s="76">
        <f>IF(ISERROR(VLOOKUP(CV214,$AL$8:$AL$15,1,FALSE))=TRUE,IF(CJ214&lt;&gt;"",IF(CJ214&gt;0,RANK(CJ214,$CJ$111:$CJ$300),""),""),"")</f>
      </c>
      <c s="75">
        <f>IF(ISERROR(VLOOKUP(CV214,$AL$8:$AL$15,1,FALSE))=TRUE,IF(AND(CV214=CW214,CV214&lt;&gt;"",DJ214&lt;&gt;""),IF(AND(ISERROR(FIND("NeighMkt",$CX$102))=FALSE,LEFT($CW$111,10)="ALL OUTLET"),DJ214-IF(ISERROR(VLOOKUP(CV214,$CA$113:$DK$300,36,FALSE))=TRUE,0,IF(VLOOKUP(CV214,$CA$113:$DK$300,36,FALSE)="",0,VLOOKUP(CV214,$CA$113:$DK$300,36,FALSE))),DJ214),""),"")</f>
        <v>16404380.9024658</v>
      </c>
      <c s="76">
        <f>IF(ISERROR(VLOOKUP(CV214,$AL$8:$AL$15,1,FALSE))=TRUE,IF(CL214&lt;&gt;"",IF(CL214&gt;0,IF($Z$4&lt;&gt;"",MIN(4,RANK(CL214,$CL$111:$CL$300)),RANK(CL214,$CL$111:$CL$300)),""),""),"")</f>
        <v>4</v>
      </c>
      <c s="75">
        <f>IF(ISERROR(VLOOKUP(CV214,$AL$8:$AL$15,1,FALSE))=TRUE,IF(AND(ISERROR(FIND("NeighMkt",$CX$102))=FALSE,LEFT($CW$111,10)="ALL OUTLET",$CA214&lt;&gt;"",DJ214&lt;&gt;""),"",IF(AND($CV214&lt;&gt;$CW214,$CW214=CN$110),$DJ214,"")),"")</f>
      </c>
      <c s="76">
        <f>IF(ISERROR(VLOOKUP(CV214,$AL$8:$AL$15,1,FALSE))=TRUE,IF(CN214&lt;&gt;"",IF(CN214&gt;0,RANK(CN214,$CN$111:$CN$300),""),""),"")</f>
      </c>
      <c s="75">
        <f>IF(ISERROR(VLOOKUP(CV214,$AL$8:$AL$15,1,FALSE))=TRUE,IF(AND(ISERROR(FIND("NeighMkt",$CX$102))=FALSE,LEFT($CW$111,10)="ALL OUTLET",$CA214&lt;&gt;"",DJ214&lt;&gt;""),"",IF(AND($CV214&lt;&gt;$CW214,$CW214=CP$110),$DJ214,"")),"")</f>
      </c>
      <c s="76">
        <f>IF(ISERROR(VLOOKUP(CV214,$AL$8:$AL$15,1,FALSE))=TRUE,IF(CP214&lt;&gt;"",IF(CP214&gt;0,RANK(CP214,$CP$111:$CP$300),""),""),"")</f>
      </c>
      <c s="75">
        <f>IF(ISERROR(VLOOKUP(CV214,$AL$8:$AL$15,1,FALSE))=TRUE,IF(AND(ISERROR(FIND("NeighMkt",$CX$102))=FALSE,LEFT($CW$111,10)="ALL OUTLET",$CA214&lt;&gt;"",DJ214&lt;&gt;""),"",IF(AND($CV214&lt;&gt;$CW214,$CW214=CR$110),$DJ214,"")),"")</f>
      </c>
      <c s="76">
        <f>IF(ISERROR(VLOOKUP(CV214,$AL$8:$AL$15,1,FALSE))=TRUE,IF(CR214&lt;&gt;"",IF(CR214&gt;0,RANK(CR214,$CR$111:$CR$300),""),""),"")</f>
      </c>
      <c s="75">
        <f>IF(ISERROR(VLOOKUP(CV214,$AL$8:$AL$15,1,FALSE))=TRUE,IF(AND(ISERROR(FIND("NeighMkt",$CX$102))=FALSE,LEFT($CW$111,10)="ALL OUTLET",$CA214&lt;&gt;"",DJ214&lt;&gt;""),"",IF($Z$4="",IF(AND($CV214&lt;&gt;$CW214,$CW214=CT$110),$DJ214,""),IF(AND($CV214&lt;&gt;$CW214,$CW214&lt;&gt;CN$110,$CW214&lt;&gt;CP$110,$CW214&lt;&gt;CR$110,$CW214&lt;&gt;$CV$111),$DJ214,""))),"")</f>
      </c>
      <c s="76">
        <f>IF(ISERROR(VLOOKUP(CV214,$AL$8:$AL$15,1,FALSE))=TRUE,IF(CT214&lt;&gt;"",IF(CT214&gt;0,RANK(CT214,$CT$111:$CT$300),""),""),"")</f>
      </c>
      <c s="65" t="str">
        <f t="shared" si="19"/>
        <v>Internet</v>
      </c>
      <c s="65" t="str">
        <f t="shared" si="20"/>
        <v>Internet</v>
      </c>
      <c s="72" t="str">
        <f>IF('[1]Leakage Tree Data'!A113&lt;&gt;"",'[1]Leakage Tree Data'!A113,"")</f>
        <v>Total US - Internet</v>
      </c>
      <c s="72" t="str">
        <f>IF('[1]Leakage Tree Data'!B113&lt;&gt;"",'[1]Leakage Tree Data'!B113,"")</f>
        <v>Total US - Internet</v>
      </c>
      <c s="72">
        <f>IF('[1]Leakage Tree Data'!C113&lt;&gt;"",'[1]Leakage Tree Data'!C113,"")</f>
        <v>121171760.292236</v>
      </c>
      <c s="72">
        <f>IF('[1]Leakage Tree Data'!D113&lt;&gt;"",'[1]Leakage Tree Data'!D113,"")</f>
        <v>51988929.3051758</v>
      </c>
      <c s="72">
        <f>IF('[1]Leakage Tree Data'!E113&lt;&gt;"",'[1]Leakage Tree Data'!E113,"")</f>
        <v>42.9051531312175</v>
      </c>
      <c s="72">
        <f>IF('[1]Leakage Tree Data'!F113&lt;&gt;"",'[1]Leakage Tree Data'!F113,"")</f>
        <v>69182830.9870605</v>
      </c>
      <c s="72">
        <f>IF('[1]Leakage Tree Data'!G113&lt;&gt;"",'[1]Leakage Tree Data'!G113,"")</f>
        <v>57.0948468687825</v>
      </c>
      <c s="72">
        <f>IF('[1]Leakage Tree Data'!H113&lt;&gt;"",'[1]Leakage Tree Data'!H113,"")</f>
        <v>61518209.9918823</v>
      </c>
      <c s="72" t="str">
        <f>IF('[1]Leakage Tree Data'!I113&lt;&gt;"",'[1]Leakage Tree Data'!I113,"")</f>
        <v>Internet</v>
      </c>
      <c s="72">
        <f>IF('[1]Leakage Tree Data'!J113&lt;&gt;"",'[1]Leakage Tree Data'!J113,"")</f>
        <v>96.8410457782643</v>
      </c>
      <c s="72">
        <f>IF('[1]Leakage Tree Data'!K113&lt;&gt;"",'[1]Leakage Tree Data'!K113,"")</f>
        <v>1943332.0916748</v>
      </c>
      <c s="72">
        <f>IF('[1]Leakage Tree Data'!L113&lt;&gt;"",'[1]Leakage Tree Data'!L113,"")</f>
        <v>4964319.86269379</v>
      </c>
      <c s="72">
        <f>IF('[1]Leakage Tree Data'!M113&lt;&gt;"",'[1]Leakage Tree Data'!M113,"")</f>
        <v>16404380.9024658</v>
      </c>
      <c s="72">
        <f>IF('[1]Leakage Tree Data'!N113&lt;&gt;"",'[1]Leakage Tree Data'!N113,"")</f>
        <v>4964319.86269379</v>
      </c>
      <c s="72">
        <f>IF('[1]Leakage Tree Data'!O113&lt;&gt;"",'[1]Leakage Tree Data'!O113,"")</f>
        <v>8.14687812329208</v>
      </c>
      <c s="72">
        <f>IF('[1]Leakage Tree Data'!P113&lt;&gt;"",'[1]Leakage Tree Data'!P113,"")</f>
        <v>11077798.9486787</v>
      </c>
      <c s="72">
        <f>IF('[1]Leakage Tree Data'!Q113&lt;&gt;"",'[1]Leakage Tree Data'!Q113,"")</f>
      </c>
      <c s="72">
        <f>IF('[1]Leakage Tree Data'!R113&lt;&gt;"",'[1]Leakage Tree Data'!R113,"")</f>
        <v>1017625.85098267</v>
      </c>
      <c s="72">
        <f>IF('[1]Leakage Tree Data'!S113&lt;&gt;"",'[1]Leakage Tree Data'!S113,"")</f>
        <v>-1517598.31466675</v>
      </c>
      <c s="72">
        <f>IF('[1]Leakage Tree Data'!T113&lt;&gt;"",'[1]Leakage Tree Data'!T113,"")</f>
        <v>-1.62642114099634</v>
      </c>
      <c s="72">
        <f>IF('[1]Leakage Tree Data'!U113&lt;&gt;"",'[1]Leakage Tree Data'!U113,"")</f>
        <v>2535224.16564941</v>
      </c>
      <c s="72">
        <f>IF('[1]Leakage Tree Data'!V113&lt;&gt;"",'[1]Leakage Tree Data'!V113,"")</f>
        <v>1.62642114099634</v>
      </c>
      <c s="72">
        <f>IF('[1]Leakage Tree Data'!W113&lt;&gt;"",'[1]Leakage Tree Data'!W113,"")</f>
        <v>-1855949.2237854</v>
      </c>
      <c s="72">
        <f>IF('[1]Leakage Tree Data'!X113&lt;&gt;"",'[1]Leakage Tree Data'!X113,"")</f>
      </c>
      <c s="72">
        <f>IF('[1]Leakage Tree Data'!Y113&lt;&gt;"",'[1]Leakage Tree Data'!Y113,"")</f>
        <v>0.397079319547444</v>
      </c>
      <c s="72">
        <f>IF('[1]Leakage Tree Data'!Z113&lt;&gt;"",'[1]Leakage Tree Data'!Z113,"")</f>
        <v>-310274.266540527</v>
      </c>
      <c s="72">
        <f>IF('[1]Leakage Tree Data'!AA113&lt;&gt;"",'[1]Leakage Tree Data'!AA113,"")</f>
        <v>-3024941.33929157</v>
      </c>
      <c s="72">
        <f>IF('[1]Leakage Tree Data'!AB113&lt;&gt;"",'[1]Leakage Tree Data'!AB113,"")</f>
        <v>-162626.000286102</v>
      </c>
      <c s="72">
        <f>IF('[1]Leakage Tree Data'!AC113&lt;&gt;"",'[1]Leakage Tree Data'!AC113,"")</f>
        <v>-3024941.33929157</v>
      </c>
      <c s="72">
        <f>IF('[1]Leakage Tree Data'!AD113&lt;&gt;"",'[1]Leakage Tree Data'!AD113,"")</f>
        <v>-0.495130944198594</v>
      </c>
      <c s="72">
        <f>IF('[1]Leakage Tree Data'!AE113&lt;&gt;"",'[1]Leakage Tree Data'!AE113,"")</f>
      </c>
      <c s="73">
        <f t="shared" si="28"/>
        <v>16404380.9024658</v>
      </c>
      <c s="73">
        <f t="shared" si="29"/>
        <v>4964319.86269379</v>
      </c>
      <c s="73">
        <f t="shared" si="30"/>
        <v>-162626.000286102</v>
      </c>
      <c s="73">
        <f t="shared" si="31"/>
        <v>-3024941.33929157</v>
      </c>
      <c s="74">
        <f t="shared" si="32"/>
        <v>0.000333462556147432</v>
      </c>
      <c s="74">
        <f t="shared" si="33"/>
        <v>-0.00217715504627067</v>
      </c>
      <c s="69" t="str">
        <f t="shared" si="17"/>
        <v>Total US - Internet</v>
      </c>
      <c s="69" t="str">
        <f t="shared" si="18"/>
        <v>Total US - Internet</v>
      </c>
      <c s="77"/>
    </row>
    <row r="215" spans="1:141" s="92" customFormat="1" ht="15">
      <c r="A2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215,$AL$8:$AL$15,1,FALSE))=TRUE,IF(AND(CV215=CW215,CV215&lt;&gt;"",DI$111&lt;&gt;"",DK215&lt;&gt;""),IF(CW$101="Y",DK215-IF(ISERROR(VLOOKUP(CV215,$CA$113:$DK$300,37,FALSE))=TRUE,0,IF(VLOOKUP(CV215,$CA$113:$DK$300,37,FALSE)="",0,VLOOKUP(CV215,$CA$113:$DK$300,37,FALSE))),DK215-IF(AND(CW$102="Y",CV215=$CW$111),DI$111,0)),""),"")</f>
      </c>
      <c s="76">
        <f>IF(ISERROR(VLOOKUP(CV215,$AL$8:$AL$15,1,FALSE))=TRUE,IF(CB215&lt;&gt;"",IF(CB215&gt;0,IF(Z$4&lt;&gt;"",MIN(4,RANK(CB215,$CB$111:$CB$300)),RANK(CB215,$CB$111:$CB$300)),""),""),"")</f>
      </c>
      <c s="75">
        <f>IF(ISERROR(VLOOKUP(CV215,$AL$8:$AL$15,1,FALSE))=TRUE,IF(AND(ISERROR(FIND("NeighMkt",$CX$102))=FALSE,LEFT($CW$111,10)="ALL OUTLET",$CA215&lt;&gt;"",DK215&lt;&gt;""),"",IF(AND($CV215&lt;&gt;$CW215,$CW215=CD$110),$DK215,"")),"")</f>
      </c>
      <c s="76">
        <f>IF(ISERROR(VLOOKUP(CV215,$AL$8:$AL$15,1,FALSE))=TRUE,IF(CD215&lt;&gt;"",IF(CD215&gt;0,RANK(CD215,$CD$111:$CD$300),""),""),"")</f>
      </c>
      <c s="75">
        <f>IF(ISERROR(VLOOKUP(CV215,$AL$8:$AL$15,1,FALSE))=TRUE,IF(AND(ISERROR(FIND("NeighMkt",$CX$102))=FALSE,LEFT($CW$111,10)="ALL OUTLET",$CA215&lt;&gt;"",DK215&lt;&gt;""),"",IF(AND($CV215&lt;&gt;$CW215,$CW215=CF$110),$DK215,"")),"")</f>
      </c>
      <c s="76">
        <f>IF(ISERROR(VLOOKUP(CV215,$AL$8:$AL$15,1,FALSE))=TRUE,IF(CF215&lt;&gt;"",IF(CF215&gt;0,RANK(CF215,$CF$111:$CF$300),""),""),"")</f>
      </c>
      <c s="75">
        <f>IF(ISERROR(VLOOKUP(CV215,$AL$8:$AL$15,1,FALSE))=TRUE,IF(AND(ISERROR(FIND("NeighMkt",$CX$102))=FALSE,LEFT($CW$111,10)="ALL OUTLET",$CA215&lt;&gt;"",DK215&lt;&gt;""),"",IF(AND($CV215&lt;&gt;$CW215,$CW215=CH$110),$DK215,"")),"")</f>
      </c>
      <c s="76">
        <f>IF(ISERROR(VLOOKUP(CV215,$AL$8:$AL$15,1,FALSE))=TRUE,IF(CH215&lt;&gt;"",IF(CH215&gt;0,RANK(CH215,$CH$111:$CH$300),""),""),"")</f>
      </c>
      <c s="75">
        <f>IF(ISERROR(VLOOKUP(CV215,$AL$8:$AL$15,1,FALSE))=TRUE,IF(AND(ISERROR(FIND("NeighMkt",$CX$102))=FALSE,LEFT($CW$111,10)="ALL OUTLET",$CA215&lt;&gt;"",DK215&lt;&gt;""),"",IF($Z$4="",IF(AND($CV215&lt;&gt;$CW215,$CW215=CJ$110),$DK215,""),IF(AND($CV215&lt;&gt;$CW215,$CW215&lt;&gt;CD$110,$CW215&lt;&gt;CF$110,$CW215&lt;&gt;CH$110,$CW215&lt;&gt;$CV$111),$DK215,""))),"")</f>
        <v>1109541.55459595</v>
      </c>
      <c s="76">
        <f>IF(ISERROR(VLOOKUP(CV215,$AL$8:$AL$15,1,FALSE))=TRUE,IF(CJ215&lt;&gt;"",IF(CJ215&gt;0,RANK(CJ215,$CJ$111:$CJ$300),""),""),"")</f>
        <v>14</v>
      </c>
      <c s="75">
        <f>IF(ISERROR(VLOOKUP(CV215,$AL$8:$AL$15,1,FALSE))=TRUE,IF(AND(CV215=CW215,CV215&lt;&gt;"",DJ215&lt;&gt;""),IF(AND(ISERROR(FIND("NeighMkt",$CX$102))=FALSE,LEFT($CW$111,10)="ALL OUTLET"),DJ215-IF(ISERROR(VLOOKUP(CV215,$CA$113:$DK$300,36,FALSE))=TRUE,0,IF(VLOOKUP(CV215,$CA$113:$DK$300,36,FALSE)="",0,VLOOKUP(CV215,$CA$113:$DK$300,36,FALSE))),DJ215),""),"")</f>
      </c>
      <c s="76">
        <f>IF(ISERROR(VLOOKUP(CV215,$AL$8:$AL$15,1,FALSE))=TRUE,IF(CL215&lt;&gt;"",IF(CL215&gt;0,IF($Z$4&lt;&gt;"",MIN(4,RANK(CL215,$CL$111:$CL$300)),RANK(CL215,$CL$111:$CL$300)),""),""),"")</f>
      </c>
      <c s="75">
        <f>IF(ISERROR(VLOOKUP(CV215,$AL$8:$AL$15,1,FALSE))=TRUE,IF(AND(ISERROR(FIND("NeighMkt",$CX$102))=FALSE,LEFT($CW$111,10)="ALL OUTLET",$CA215&lt;&gt;"",DJ215&lt;&gt;""),"",IF(AND($CV215&lt;&gt;$CW215,$CW215=CN$110),$DJ215,"")),"")</f>
      </c>
      <c s="76">
        <f>IF(ISERROR(VLOOKUP(CV215,$AL$8:$AL$15,1,FALSE))=TRUE,IF(CN215&lt;&gt;"",IF(CN215&gt;0,RANK(CN215,$CN$111:$CN$300),""),""),"")</f>
      </c>
      <c s="75">
        <f>IF(ISERROR(VLOOKUP(CV215,$AL$8:$AL$15,1,FALSE))=TRUE,IF(AND(ISERROR(FIND("NeighMkt",$CX$102))=FALSE,LEFT($CW$111,10)="ALL OUTLET",$CA215&lt;&gt;"",DJ215&lt;&gt;""),"",IF(AND($CV215&lt;&gt;$CW215,$CW215=CP$110),$DJ215,"")),"")</f>
      </c>
      <c s="76">
        <f>IF(ISERROR(VLOOKUP(CV215,$AL$8:$AL$15,1,FALSE))=TRUE,IF(CP215&lt;&gt;"",IF(CP215&gt;0,RANK(CP215,$CP$111:$CP$300),""),""),"")</f>
      </c>
      <c s="75">
        <f>IF(ISERROR(VLOOKUP(CV215,$AL$8:$AL$15,1,FALSE))=TRUE,IF(AND(ISERROR(FIND("NeighMkt",$CX$102))=FALSE,LEFT($CW$111,10)="ALL OUTLET",$CA215&lt;&gt;"",DJ215&lt;&gt;""),"",IF(AND($CV215&lt;&gt;$CW215,$CW215=CR$110),$DJ215,"")),"")</f>
      </c>
      <c s="76">
        <f>IF(ISERROR(VLOOKUP(CV215,$AL$8:$AL$15,1,FALSE))=TRUE,IF(CR215&lt;&gt;"",IF(CR215&gt;0,RANK(CR215,$CR$111:$CR$300),""),""),"")</f>
      </c>
      <c s="75">
        <f>IF(ISERROR(VLOOKUP(CV215,$AL$8:$AL$15,1,FALSE))=TRUE,IF(AND(ISERROR(FIND("NeighMkt",$CX$102))=FALSE,LEFT($CW$111,10)="ALL OUTLET",$CA215&lt;&gt;"",DJ215&lt;&gt;""),"",IF($Z$4="",IF(AND($CV215&lt;&gt;$CW215,$CW215=CT$110),$DJ215,""),IF(AND($CV215&lt;&gt;$CW215,$CW215&lt;&gt;CN$110,$CW215&lt;&gt;CP$110,$CW215&lt;&gt;CR$110,$CW215&lt;&gt;$CV$111),$DJ215,""))),"")</f>
        <v>2192154.20335388</v>
      </c>
      <c s="76">
        <f>IF(ISERROR(VLOOKUP(CV215,$AL$8:$AL$15,1,FALSE))=TRUE,IF(CT215&lt;&gt;"",IF(CT215&gt;0,RANK(CT215,$CT$111:$CT$300),""),""),"")</f>
        <v>16</v>
      </c>
      <c s="65" t="str">
        <f t="shared" si="19"/>
        <v>Amazon.com</v>
      </c>
      <c s="65" t="str">
        <f t="shared" si="20"/>
        <v>Internet</v>
      </c>
      <c s="72" t="str">
        <f>IF('[1]Leakage Tree Data'!A114&lt;&gt;"",'[1]Leakage Tree Data'!A114,"")</f>
        <v>Total US - Amazon.com</v>
      </c>
      <c s="72" t="str">
        <f>IF('[1]Leakage Tree Data'!B114&lt;&gt;"",'[1]Leakage Tree Data'!B114,"")</f>
        <v>Total US - Internet</v>
      </c>
      <c s="72">
        <f>IF('[1]Leakage Tree Data'!C114&lt;&gt;"",'[1]Leakage Tree Data'!C114,"")</f>
        <v>121171760.292236</v>
      </c>
      <c s="72">
        <f>IF('[1]Leakage Tree Data'!D114&lt;&gt;"",'[1]Leakage Tree Data'!D114,"")</f>
        <v>23825052.065155</v>
      </c>
      <c s="72">
        <f>IF('[1]Leakage Tree Data'!E114&lt;&gt;"",'[1]Leakage Tree Data'!E114,"")</f>
        <v>19.6622150307092</v>
      </c>
      <c s="72">
        <f>IF('[1]Leakage Tree Data'!F114&lt;&gt;"",'[1]Leakage Tree Data'!F114,"")</f>
        <v>97346708.2270813</v>
      </c>
      <c s="72">
        <f>IF('[1]Leakage Tree Data'!G114&lt;&gt;"",'[1]Leakage Tree Data'!G114,"")</f>
        <v>80.3377849692908</v>
      </c>
      <c s="72">
        <f>IF('[1]Leakage Tree Data'!H114&lt;&gt;"",'[1]Leakage Tree Data'!H114,"")</f>
        <v>61518209.9918823</v>
      </c>
      <c s="72" t="str">
        <f>IF('[1]Leakage Tree Data'!I114&lt;&gt;"",'[1]Leakage Tree Data'!I114,"")</f>
        <v>Internet</v>
      </c>
      <c s="72">
        <f>IF('[1]Leakage Tree Data'!J114&lt;&gt;"",'[1]Leakage Tree Data'!J114,"")</f>
        <v>99.1895983146104</v>
      </c>
      <c s="72">
        <f>IF('[1]Leakage Tree Data'!K114&lt;&gt;"",'[1]Leakage Tree Data'!K114,"")</f>
        <v>498544.610595703</v>
      </c>
      <c s="72">
        <f>IF('[1]Leakage Tree Data'!L114&lt;&gt;"",'[1]Leakage Tree Data'!L114,"")</f>
        <v>1109541.55459595</v>
      </c>
      <c s="72">
        <f>IF('[1]Leakage Tree Data'!M114&lt;&gt;"",'[1]Leakage Tree Data'!M114,"")</f>
        <v>2192154.20335388</v>
      </c>
      <c s="72">
        <f>IF('[1]Leakage Tree Data'!N114&lt;&gt;"",'[1]Leakage Tree Data'!N114,"")</f>
        <v>1109541.55459595</v>
      </c>
      <c s="72">
        <f>IF('[1]Leakage Tree Data'!O114&lt;&gt;"",'[1]Leakage Tree Data'!O114,"")</f>
        <v>3.5335344197252</v>
      </c>
      <c s="72">
        <f>IF('[1]Leakage Tree Data'!P114&lt;&gt;"",'[1]Leakage Tree Data'!P114,"")</f>
        <v>5276905.48461712</v>
      </c>
      <c s="72">
        <f>IF('[1]Leakage Tree Data'!Q114&lt;&gt;"",'[1]Leakage Tree Data'!Q114,"")</f>
      </c>
      <c s="72">
        <f>IF('[1]Leakage Tree Data'!R114&lt;&gt;"",'[1]Leakage Tree Data'!R114,"")</f>
        <v>1017625.85098267</v>
      </c>
      <c s="72">
        <f>IF('[1]Leakage Tree Data'!S114&lt;&gt;"",'[1]Leakage Tree Data'!S114,"")</f>
        <v>575329.030944824</v>
      </c>
      <c s="72">
        <f>IF('[1]Leakage Tree Data'!T114&lt;&gt;"",'[1]Leakage Tree Data'!T114,"")</f>
        <v>0.312299905168885</v>
      </c>
      <c s="72">
        <f>IF('[1]Leakage Tree Data'!U114&lt;&gt;"",'[1]Leakage Tree Data'!U114,"")</f>
        <v>442296.820037842</v>
      </c>
      <c s="72">
        <f>IF('[1]Leakage Tree Data'!V114&lt;&gt;"",'[1]Leakage Tree Data'!V114,"")</f>
        <v>-0.312299905168885</v>
      </c>
      <c s="72">
        <f>IF('[1]Leakage Tree Data'!W114&lt;&gt;"",'[1]Leakage Tree Data'!W114,"")</f>
        <v>-1855949.2237854</v>
      </c>
      <c s="72">
        <f>IF('[1]Leakage Tree Data'!X114&lt;&gt;"",'[1]Leakage Tree Data'!X114,"")</f>
      </c>
      <c s="72">
        <f>IF('[1]Leakage Tree Data'!Y114&lt;&gt;"",'[1]Leakage Tree Data'!Y114,"")</f>
        <v>-0.209803800906698</v>
      </c>
      <c s="72">
        <f>IF('[1]Leakage Tree Data'!Z114&lt;&gt;"",'[1]Leakage Tree Data'!Z114,"")</f>
        <v>117920.751037598</v>
      </c>
      <c s="72">
        <f>IF('[1]Leakage Tree Data'!AA114&lt;&gt;"",'[1]Leakage Tree Data'!AA114,"")</f>
        <v>442101.740393639</v>
      </c>
      <c s="72">
        <f>IF('[1]Leakage Tree Data'!AB114&lt;&gt;"",'[1]Leakage Tree Data'!AB114,"")</f>
        <v>955950.780567169</v>
      </c>
      <c s="72">
        <f>IF('[1]Leakage Tree Data'!AC114&lt;&gt;"",'[1]Leakage Tree Data'!AC114,"")</f>
        <v>442101.740393639</v>
      </c>
      <c s="72">
        <f>IF('[1]Leakage Tree Data'!AD114&lt;&gt;"",'[1]Leakage Tree Data'!AD114,"")</f>
        <v>0.616845628747808</v>
      </c>
      <c s="72">
        <f>IF('[1]Leakage Tree Data'!AE114&lt;&gt;"",'[1]Leakage Tree Data'!AE114,"")</f>
      </c>
      <c s="73">
        <f t="shared" si="28"/>
      </c>
      <c s="73">
        <f t="shared" si="29"/>
      </c>
      <c s="73">
        <f t="shared" si="30"/>
      </c>
      <c s="73">
        <f t="shared" si="31"/>
      </c>
      <c s="74">
        <f t="shared" si="32"/>
      </c>
      <c s="74">
        <f t="shared" si="33"/>
      </c>
      <c s="69" t="str">
        <f t="shared" si="17"/>
        <v>Total US - Amazon.com</v>
      </c>
      <c s="69" t="str">
        <f t="shared" si="18"/>
        <v>Total US - Internet</v>
      </c>
      <c s="77"/>
    </row>
    <row r="216" spans="1:141" s="92" customFormat="1" ht="15">
      <c r="A2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216,$AL$8:$AL$15,1,FALSE))=TRUE,IF(AND(CV216=CW216,CV216&lt;&gt;"",DI$111&lt;&gt;"",DK216&lt;&gt;""),IF(CW$101="Y",DK216-IF(ISERROR(VLOOKUP(CV216,$CA$113:$DK$300,37,FALSE))=TRUE,0,IF(VLOOKUP(CV216,$CA$113:$DK$300,37,FALSE)="",0,VLOOKUP(CV216,$CA$113:$DK$300,37,FALSE))),DK216-IF(AND(CW$102="Y",CV216=$CW$111),DI$111,0)),""),"")</f>
      </c>
      <c s="76">
        <f>IF(ISERROR(VLOOKUP(CV216,$AL$8:$AL$15,1,FALSE))=TRUE,IF(CB216&lt;&gt;"",IF(CB216&gt;0,IF(Z$4&lt;&gt;"",MIN(4,RANK(CB216,$CB$111:$CB$300)),RANK(CB216,$CB$111:$CB$300)),""),""),"")</f>
      </c>
      <c s="75">
        <f>IF(ISERROR(VLOOKUP(CV216,$AL$8:$AL$15,1,FALSE))=TRUE,IF(AND(ISERROR(FIND("NeighMkt",$CX$102))=FALSE,LEFT($CW$111,10)="ALL OUTLET",$CA216&lt;&gt;"",DK216&lt;&gt;""),"",IF(AND($CV216&lt;&gt;$CW216,$CW216=CD$110),$DK216,"")),"")</f>
      </c>
      <c s="76">
        <f>IF(ISERROR(VLOOKUP(CV216,$AL$8:$AL$15,1,FALSE))=TRUE,IF(CD216&lt;&gt;"",IF(CD216&gt;0,RANK(CD216,$CD$111:$CD$300),""),""),"")</f>
      </c>
      <c s="75">
        <f>IF(ISERROR(VLOOKUP(CV216,$AL$8:$AL$15,1,FALSE))=TRUE,IF(AND(ISERROR(FIND("NeighMkt",$CX$102))=FALSE,LEFT($CW$111,10)="ALL OUTLET",$CA216&lt;&gt;"",DK216&lt;&gt;""),"",IF(AND($CV216&lt;&gt;$CW216,$CW216=CF$110),$DK216,"")),"")</f>
      </c>
      <c s="76">
        <f>IF(ISERROR(VLOOKUP(CV216,$AL$8:$AL$15,1,FALSE))=TRUE,IF(CF216&lt;&gt;"",IF(CF216&gt;0,RANK(CF216,$CF$111:$CF$300),""),""),"")</f>
      </c>
      <c s="75">
        <f>IF(ISERROR(VLOOKUP(CV216,$AL$8:$AL$15,1,FALSE))=TRUE,IF(AND(ISERROR(FIND("NeighMkt",$CX$102))=FALSE,LEFT($CW$111,10)="ALL OUTLET",$CA216&lt;&gt;"",DK216&lt;&gt;""),"",IF(AND($CV216&lt;&gt;$CW216,$CW216=CH$110),$DK216,"")),"")</f>
      </c>
      <c s="76">
        <f>IF(ISERROR(VLOOKUP(CV216,$AL$8:$AL$15,1,FALSE))=TRUE,IF(CH216&lt;&gt;"",IF(CH216&gt;0,RANK(CH216,$CH$111:$CH$300),""),""),"")</f>
      </c>
      <c s="75">
        <f>IF(ISERROR(VLOOKUP(CV216,$AL$8:$AL$15,1,FALSE))=TRUE,IF(AND(ISERROR(FIND("NeighMkt",$CX$102))=FALSE,LEFT($CW$111,10)="ALL OUTLET",$CA216&lt;&gt;"",DK216&lt;&gt;""),"",IF($Z$4="",IF(AND($CV216&lt;&gt;$CW216,$CW216=CJ$110),$DK216,""),IF(AND($CV216&lt;&gt;$CW216,$CW216&lt;&gt;CD$110,$CW216&lt;&gt;CF$110,$CW216&lt;&gt;CH$110,$CW216&lt;&gt;$CV$111),$DK216,""))),"")</f>
      </c>
      <c s="76">
        <f>IF(ISERROR(VLOOKUP(CV216,$AL$8:$AL$15,1,FALSE))=TRUE,IF(CJ216&lt;&gt;"",IF(CJ216&gt;0,RANK(CJ216,$CJ$111:$CJ$300),""),""),"")</f>
      </c>
      <c s="75">
        <f>IF(ISERROR(VLOOKUP(CV216,$AL$8:$AL$15,1,FALSE))=TRUE,IF(AND(CV216=CW216,CV216&lt;&gt;"",DJ216&lt;&gt;""),IF(AND(ISERROR(FIND("NeighMkt",$CX$102))=FALSE,LEFT($CW$111,10)="ALL OUTLET"),DJ216-IF(ISERROR(VLOOKUP(CV216,$CA$113:$DK$300,36,FALSE))=TRUE,0,IF(VLOOKUP(CV216,$CA$113:$DK$300,36,FALSE)="",0,VLOOKUP(CV216,$CA$113:$DK$300,36,FALSE))),DJ216),""),"")</f>
      </c>
      <c s="76">
        <f>IF(ISERROR(VLOOKUP(CV216,$AL$8:$AL$15,1,FALSE))=TRUE,IF(CL216&lt;&gt;"",IF(CL216&gt;0,IF($Z$4&lt;&gt;"",MIN(4,RANK(CL216,$CL$111:$CL$300)),RANK(CL216,$CL$111:$CL$300)),""),""),"")</f>
      </c>
      <c s="75">
        <f>IF(ISERROR(VLOOKUP(CV216,$AL$8:$AL$15,1,FALSE))=TRUE,IF(AND(ISERROR(FIND("NeighMkt",$CX$102))=FALSE,LEFT($CW$111,10)="ALL OUTLET",$CA216&lt;&gt;"",DJ216&lt;&gt;""),"",IF(AND($CV216&lt;&gt;$CW216,$CW216=CN$110),$DJ216,"")),"")</f>
      </c>
      <c s="76">
        <f>IF(ISERROR(VLOOKUP(CV216,$AL$8:$AL$15,1,FALSE))=TRUE,IF(CN216&lt;&gt;"",IF(CN216&gt;0,RANK(CN216,$CN$111:$CN$300),""),""),"")</f>
      </c>
      <c s="75">
        <f>IF(ISERROR(VLOOKUP(CV216,$AL$8:$AL$15,1,FALSE))=TRUE,IF(AND(ISERROR(FIND("NeighMkt",$CX$102))=FALSE,LEFT($CW$111,10)="ALL OUTLET",$CA216&lt;&gt;"",DJ216&lt;&gt;""),"",IF(AND($CV216&lt;&gt;$CW216,$CW216=CP$110),$DJ216,"")),"")</f>
      </c>
      <c s="76">
        <f>IF(ISERROR(VLOOKUP(CV216,$AL$8:$AL$15,1,FALSE))=TRUE,IF(CP216&lt;&gt;"",IF(CP216&gt;0,RANK(CP216,$CP$111:$CP$300),""),""),"")</f>
      </c>
      <c s="75">
        <f>IF(ISERROR(VLOOKUP(CV216,$AL$8:$AL$15,1,FALSE))=TRUE,IF(AND(ISERROR(FIND("NeighMkt",$CX$102))=FALSE,LEFT($CW$111,10)="ALL OUTLET",$CA216&lt;&gt;"",DJ216&lt;&gt;""),"",IF(AND($CV216&lt;&gt;$CW216,$CW216=CR$110),$DJ216,"")),"")</f>
      </c>
      <c s="76">
        <f>IF(ISERROR(VLOOKUP(CV216,$AL$8:$AL$15,1,FALSE))=TRUE,IF(CR216&lt;&gt;"",IF(CR216&gt;0,RANK(CR216,$CR$111:$CR$300),""),""),"")</f>
      </c>
      <c s="75">
        <f>IF(ISERROR(VLOOKUP(CV216,$AL$8:$AL$15,1,FALSE))=TRUE,IF(AND(ISERROR(FIND("NeighMkt",$CX$102))=FALSE,LEFT($CW$111,10)="ALL OUTLET",$CA216&lt;&gt;"",DJ216&lt;&gt;""),"",IF($Z$4="",IF(AND($CV216&lt;&gt;$CW216,$CW216=CT$110),$DJ216,""),IF(AND($CV216&lt;&gt;$CW216,$CW216&lt;&gt;CN$110,$CW216&lt;&gt;CP$110,$CW216&lt;&gt;CR$110,$CW216&lt;&gt;$CV$111),$DJ216,""))),"")</f>
      </c>
      <c s="76">
        <f>IF(ISERROR(VLOOKUP(CV216,$AL$8:$AL$15,1,FALSE))=TRUE,IF(CT216&lt;&gt;"",IF(CT216&gt;0,RANK(CT216,$CT$111:$CT$300),""),""),"")</f>
      </c>
      <c s="65" t="str">
        <f t="shared" si="19"/>
        <v>Amazonfresh.com</v>
      </c>
      <c s="65" t="str">
        <f t="shared" si="20"/>
        <v>Internet</v>
      </c>
      <c s="72" t="str">
        <f>IF('[1]Leakage Tree Data'!A115&lt;&gt;"",'[1]Leakage Tree Data'!A115,"")</f>
        <v>Total US - Amazonfresh.com</v>
      </c>
      <c s="72" t="str">
        <f>IF('[1]Leakage Tree Data'!B115&lt;&gt;"",'[1]Leakage Tree Data'!B115,"")</f>
        <v>Total US - Internet</v>
      </c>
      <c s="72">
        <f>IF('[1]Leakage Tree Data'!C115&lt;&gt;"",'[1]Leakage Tree Data'!C115,"")</f>
        <v>121171760.292236</v>
      </c>
      <c s="72">
        <f>IF('[1]Leakage Tree Data'!D115&lt;&gt;"",'[1]Leakage Tree Data'!D115,"")</f>
        <v>204272.88861084</v>
      </c>
      <c s="72">
        <f>IF('[1]Leakage Tree Data'!E115&lt;&gt;"",'[1]Leakage Tree Data'!E115,"")</f>
        <v>0.16858126688775</v>
      </c>
      <c s="72">
        <f>IF('[1]Leakage Tree Data'!F115&lt;&gt;"",'[1]Leakage Tree Data'!F115,"")</f>
        <v>120967487.403625</v>
      </c>
      <c s="72">
        <f>IF('[1]Leakage Tree Data'!G115&lt;&gt;"",'[1]Leakage Tree Data'!G115,"")</f>
        <v>99.8314187331122</v>
      </c>
      <c s="72">
        <f>IF('[1]Leakage Tree Data'!H115&lt;&gt;"",'[1]Leakage Tree Data'!H115,"")</f>
        <v>61518209.9918823</v>
      </c>
      <c s="72" t="str">
        <f>IF('[1]Leakage Tree Data'!I115&lt;&gt;"",'[1]Leakage Tree Data'!I115,"")</f>
        <v>Internet</v>
      </c>
      <c s="72">
        <f>IF('[1]Leakage Tree Data'!J115&lt;&gt;"",'[1]Leakage Tree Data'!J115,"")</f>
      </c>
      <c s="72">
        <f>IF('[1]Leakage Tree Data'!K115&lt;&gt;"",'[1]Leakage Tree Data'!K115,"")</f>
      </c>
      <c s="72">
        <f>IF('[1]Leakage Tree Data'!L115&lt;&gt;"",'[1]Leakage Tree Data'!L115,"")</f>
      </c>
      <c s="72">
        <f>IF('[1]Leakage Tree Data'!M115&lt;&gt;"",'[1]Leakage Tree Data'!M115,"")</f>
      </c>
      <c s="72">
        <f>IF('[1]Leakage Tree Data'!N115&lt;&gt;"",'[1]Leakage Tree Data'!N115,"")</f>
      </c>
      <c s="72">
        <f>IF('[1]Leakage Tree Data'!O115&lt;&gt;"",'[1]Leakage Tree Data'!O115,"")</f>
      </c>
      <c s="72">
        <f>IF('[1]Leakage Tree Data'!P115&lt;&gt;"",'[1]Leakage Tree Data'!P115,"")</f>
      </c>
      <c s="72">
        <f>IF('[1]Leakage Tree Data'!Q115&lt;&gt;"",'[1]Leakage Tree Data'!Q115,"")</f>
      </c>
      <c s="72">
        <f>IF('[1]Leakage Tree Data'!R115&lt;&gt;"",'[1]Leakage Tree Data'!R115,"")</f>
        <v>1017625.85098267</v>
      </c>
      <c s="72">
        <f>IF('[1]Leakage Tree Data'!S115&lt;&gt;"",'[1]Leakage Tree Data'!S115,"")</f>
        <v>38151.5478515625</v>
      </c>
      <c s="72">
        <f>IF('[1]Leakage Tree Data'!T115&lt;&gt;"",'[1]Leakage Tree Data'!T115,"")</f>
        <v>0.0303244007950581</v>
      </c>
      <c s="72">
        <f>IF('[1]Leakage Tree Data'!U115&lt;&gt;"",'[1]Leakage Tree Data'!U115,"")</f>
        <v>979474.303131104</v>
      </c>
      <c s="72">
        <f>IF('[1]Leakage Tree Data'!V115&lt;&gt;"",'[1]Leakage Tree Data'!V115,"")</f>
        <v>-0.0303244007950667</v>
      </c>
      <c s="72">
        <f>IF('[1]Leakage Tree Data'!W115&lt;&gt;"",'[1]Leakage Tree Data'!W115,"")</f>
        <v>-1855949.2237854</v>
      </c>
      <c s="72">
        <f>IF('[1]Leakage Tree Data'!X115&lt;&gt;"",'[1]Leakage Tree Data'!X115,"")</f>
      </c>
      <c s="72">
        <f>IF('[1]Leakage Tree Data'!Y115&lt;&gt;"",'[1]Leakage Tree Data'!Y115,"")</f>
      </c>
      <c s="72">
        <f>IF('[1]Leakage Tree Data'!Z115&lt;&gt;"",'[1]Leakage Tree Data'!Z115,"")</f>
      </c>
      <c s="72">
        <f>IF('[1]Leakage Tree Data'!AA115&lt;&gt;"",'[1]Leakage Tree Data'!AA115,"")</f>
      </c>
      <c s="72">
        <f>IF('[1]Leakage Tree Data'!AB115&lt;&gt;"",'[1]Leakage Tree Data'!AB115,"")</f>
      </c>
      <c s="72">
        <f>IF('[1]Leakage Tree Data'!AC115&lt;&gt;"",'[1]Leakage Tree Data'!AC115,"")</f>
      </c>
      <c s="72">
        <f>IF('[1]Leakage Tree Data'!AD115&lt;&gt;"",'[1]Leakage Tree Data'!AD115,"")</f>
      </c>
      <c s="72">
        <f>IF('[1]Leakage Tree Data'!AE115&lt;&gt;"",'[1]Leakage Tree Data'!AE115,"")</f>
      </c>
      <c s="73">
        <f t="shared" si="28"/>
      </c>
      <c s="73">
        <f t="shared" si="29"/>
      </c>
      <c s="73">
        <f t="shared" si="30"/>
      </c>
      <c s="73">
        <f t="shared" si="31"/>
      </c>
      <c s="74">
        <f t="shared" si="32"/>
      </c>
      <c s="74">
        <f t="shared" si="33"/>
      </c>
      <c s="69" t="str">
        <f t="shared" si="17"/>
        <v>Total US - Amazonfresh.com</v>
      </c>
      <c s="69" t="str">
        <f t="shared" si="18"/>
        <v>Total US - Internet</v>
      </c>
      <c s="77"/>
    </row>
    <row r="217" spans="1:141" s="92" customFormat="1" ht="15">
      <c r="A2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217,$AL$8:$AL$15,1,FALSE))=TRUE,IF(AND(CV217=CW217,CV217&lt;&gt;"",DI$111&lt;&gt;"",DK217&lt;&gt;""),IF(CW$101="Y",DK217-IF(ISERROR(VLOOKUP(CV217,$CA$113:$DK$300,37,FALSE))=TRUE,0,IF(VLOOKUP(CV217,$CA$113:$DK$300,37,FALSE)="",0,VLOOKUP(CV217,$CA$113:$DK$300,37,FALSE))),DK217-IF(AND(CW$102="Y",CV217=$CW$111),DI$111,0)),""),"")</f>
      </c>
      <c s="76">
        <f>IF(ISERROR(VLOOKUP(CV217,$AL$8:$AL$15,1,FALSE))=TRUE,IF(CB217&lt;&gt;"",IF(CB217&gt;0,IF(Z$4&lt;&gt;"",MIN(4,RANK(CB217,$CB$111:$CB$300)),RANK(CB217,$CB$111:$CB$300)),""),""),"")</f>
      </c>
      <c s="75">
        <f>IF(ISERROR(VLOOKUP(CV217,$AL$8:$AL$15,1,FALSE))=TRUE,IF(AND(ISERROR(FIND("NeighMkt",$CX$102))=FALSE,LEFT($CW$111,10)="ALL OUTLET",$CA217&lt;&gt;"",DK217&lt;&gt;""),"",IF(AND($CV217&lt;&gt;$CW217,$CW217=CD$110),$DK217,"")),"")</f>
      </c>
      <c s="76">
        <f>IF(ISERROR(VLOOKUP(CV217,$AL$8:$AL$15,1,FALSE))=TRUE,IF(CD217&lt;&gt;"",IF(CD217&gt;0,RANK(CD217,$CD$111:$CD$300),""),""),"")</f>
      </c>
      <c s="75">
        <f>IF(ISERROR(VLOOKUP(CV217,$AL$8:$AL$15,1,FALSE))=TRUE,IF(AND(ISERROR(FIND("NeighMkt",$CX$102))=FALSE,LEFT($CW$111,10)="ALL OUTLET",$CA217&lt;&gt;"",DK217&lt;&gt;""),"",IF(AND($CV217&lt;&gt;$CW217,$CW217=CF$110),$DK217,"")),"")</f>
      </c>
      <c s="76">
        <f>IF(ISERROR(VLOOKUP(CV217,$AL$8:$AL$15,1,FALSE))=TRUE,IF(CF217&lt;&gt;"",IF(CF217&gt;0,RANK(CF217,$CF$111:$CF$300),""),""),"")</f>
      </c>
      <c s="75">
        <f>IF(ISERROR(VLOOKUP(CV217,$AL$8:$AL$15,1,FALSE))=TRUE,IF(AND(ISERROR(FIND("NeighMkt",$CX$102))=FALSE,LEFT($CW$111,10)="ALL OUTLET",$CA217&lt;&gt;"",DK217&lt;&gt;""),"",IF(AND($CV217&lt;&gt;$CW217,$CW217=CH$110),$DK217,"")),"")</f>
      </c>
      <c s="76">
        <f>IF(ISERROR(VLOOKUP(CV217,$AL$8:$AL$15,1,FALSE))=TRUE,IF(CH217&lt;&gt;"",IF(CH217&gt;0,RANK(CH217,$CH$111:$CH$300),""),""),"")</f>
      </c>
      <c s="75">
        <f>IF(ISERROR(VLOOKUP(CV217,$AL$8:$AL$15,1,FALSE))=TRUE,IF(AND(ISERROR(FIND("NeighMkt",$CX$102))=FALSE,LEFT($CW$111,10)="ALL OUTLET",$CA217&lt;&gt;"",DK217&lt;&gt;""),"",IF($Z$4="",IF(AND($CV217&lt;&gt;$CW217,$CW217=CJ$110),$DK217,""),IF(AND($CV217&lt;&gt;$CW217,$CW217&lt;&gt;CD$110,$CW217&lt;&gt;CF$110,$CW217&lt;&gt;CH$110,$CW217&lt;&gt;$CV$111),$DK217,""))),"")</f>
      </c>
      <c s="76">
        <f>IF(ISERROR(VLOOKUP(CV217,$AL$8:$AL$15,1,FALSE))=TRUE,IF(CJ217&lt;&gt;"",IF(CJ217&gt;0,RANK(CJ217,$CJ$111:$CJ$300),""),""),"")</f>
      </c>
      <c s="75">
        <f>IF(ISERROR(VLOOKUP(CV217,$AL$8:$AL$15,1,FALSE))=TRUE,IF(AND(CV217=CW217,CV217&lt;&gt;"",DJ217&lt;&gt;""),IF(AND(ISERROR(FIND("NeighMkt",$CX$102))=FALSE,LEFT($CW$111,10)="ALL OUTLET"),DJ217-IF(ISERROR(VLOOKUP(CV217,$CA$113:$DK$300,36,FALSE))=TRUE,0,IF(VLOOKUP(CV217,$CA$113:$DK$300,36,FALSE)="",0,VLOOKUP(CV217,$CA$113:$DK$300,36,FALSE))),DJ217),""),"")</f>
      </c>
      <c s="76">
        <f>IF(ISERROR(VLOOKUP(CV217,$AL$8:$AL$15,1,FALSE))=TRUE,IF(CL217&lt;&gt;"",IF(CL217&gt;0,IF($Z$4&lt;&gt;"",MIN(4,RANK(CL217,$CL$111:$CL$300)),RANK(CL217,$CL$111:$CL$300)),""),""),"")</f>
      </c>
      <c s="75">
        <f>IF(ISERROR(VLOOKUP(CV217,$AL$8:$AL$15,1,FALSE))=TRUE,IF(AND(ISERROR(FIND("NeighMkt",$CX$102))=FALSE,LEFT($CW$111,10)="ALL OUTLET",$CA217&lt;&gt;"",DJ217&lt;&gt;""),"",IF(AND($CV217&lt;&gt;$CW217,$CW217=CN$110),$DJ217,"")),"")</f>
      </c>
      <c s="76">
        <f>IF(ISERROR(VLOOKUP(CV217,$AL$8:$AL$15,1,FALSE))=TRUE,IF(CN217&lt;&gt;"",IF(CN217&gt;0,RANK(CN217,$CN$111:$CN$300),""),""),"")</f>
      </c>
      <c s="75">
        <f>IF(ISERROR(VLOOKUP(CV217,$AL$8:$AL$15,1,FALSE))=TRUE,IF(AND(ISERROR(FIND("NeighMkt",$CX$102))=FALSE,LEFT($CW$111,10)="ALL OUTLET",$CA217&lt;&gt;"",DJ217&lt;&gt;""),"",IF(AND($CV217&lt;&gt;$CW217,$CW217=CP$110),$DJ217,"")),"")</f>
      </c>
      <c s="76">
        <f>IF(ISERROR(VLOOKUP(CV217,$AL$8:$AL$15,1,FALSE))=TRUE,IF(CP217&lt;&gt;"",IF(CP217&gt;0,RANK(CP217,$CP$111:$CP$300),""),""),"")</f>
      </c>
      <c s="75">
        <f>IF(ISERROR(VLOOKUP(CV217,$AL$8:$AL$15,1,FALSE))=TRUE,IF(AND(ISERROR(FIND("NeighMkt",$CX$102))=FALSE,LEFT($CW$111,10)="ALL OUTLET",$CA217&lt;&gt;"",DJ217&lt;&gt;""),"",IF(AND($CV217&lt;&gt;$CW217,$CW217=CR$110),$DJ217,"")),"")</f>
      </c>
      <c s="76">
        <f>IF(ISERROR(VLOOKUP(CV217,$AL$8:$AL$15,1,FALSE))=TRUE,IF(CR217&lt;&gt;"",IF(CR217&gt;0,RANK(CR217,$CR$111:$CR$300),""),""),"")</f>
      </c>
      <c s="75">
        <f>IF(ISERROR(VLOOKUP(CV217,$AL$8:$AL$15,1,FALSE))=TRUE,IF(AND(ISERROR(FIND("NeighMkt",$CX$102))=FALSE,LEFT($CW$111,10)="ALL OUTLET",$CA217&lt;&gt;"",DJ217&lt;&gt;""),"",IF($Z$4="",IF(AND($CV217&lt;&gt;$CW217,$CW217=CT$110),$DJ217,""),IF(AND($CV217&lt;&gt;$CW217,$CW217&lt;&gt;CN$110,$CW217&lt;&gt;CP$110,$CW217&lt;&gt;CR$110,$CW217&lt;&gt;$CV$111),$DJ217,""))),"")</f>
      </c>
      <c s="76">
        <f>IF(ISERROR(VLOOKUP(CV217,$AL$8:$AL$15,1,FALSE))=TRUE,IF(CT217&lt;&gt;"",IF(CT217&gt;0,RANK(CT217,$CT$111:$CT$300),""),""),"")</f>
      </c>
      <c s="65" t="str">
        <f t="shared" si="19"/>
        <v>Barnesnoble.com</v>
      </c>
      <c s="65" t="str">
        <f t="shared" si="20"/>
        <v>Internet</v>
      </c>
      <c s="72" t="str">
        <f>IF('[1]Leakage Tree Data'!A116&lt;&gt;"",'[1]Leakage Tree Data'!A116,"")</f>
        <v>Total US - Barnesnoble.com</v>
      </c>
      <c s="72" t="str">
        <f>IF('[1]Leakage Tree Data'!B116&lt;&gt;"",'[1]Leakage Tree Data'!B116,"")</f>
        <v>Total US - Internet</v>
      </c>
      <c s="72">
        <f>IF('[1]Leakage Tree Data'!C116&lt;&gt;"",'[1]Leakage Tree Data'!C116,"")</f>
        <v>121171760.292236</v>
      </c>
      <c s="72">
        <f>IF('[1]Leakage Tree Data'!D116&lt;&gt;"",'[1]Leakage Tree Data'!D116,"")</f>
        <v>1028810.84231567</v>
      </c>
      <c s="72">
        <f>IF('[1]Leakage Tree Data'!E116&lt;&gt;"",'[1]Leakage Tree Data'!E116,"")</f>
        <v>0.849051660085185</v>
      </c>
      <c s="72">
        <f>IF('[1]Leakage Tree Data'!F116&lt;&gt;"",'[1]Leakage Tree Data'!F116,"")</f>
        <v>120142949.449921</v>
      </c>
      <c s="72">
        <f>IF('[1]Leakage Tree Data'!G116&lt;&gt;"",'[1]Leakage Tree Data'!G116,"")</f>
        <v>99.1509483399148</v>
      </c>
      <c s="72">
        <f>IF('[1]Leakage Tree Data'!H116&lt;&gt;"",'[1]Leakage Tree Data'!H116,"")</f>
        <v>61518209.9918823</v>
      </c>
      <c s="72" t="str">
        <f>IF('[1]Leakage Tree Data'!I116&lt;&gt;"",'[1]Leakage Tree Data'!I116,"")</f>
        <v>Internet</v>
      </c>
      <c s="72">
        <f>IF('[1]Leakage Tree Data'!J116&lt;&gt;"",'[1]Leakage Tree Data'!J116,"")</f>
      </c>
      <c s="72">
        <f>IF('[1]Leakage Tree Data'!K116&lt;&gt;"",'[1]Leakage Tree Data'!K116,"")</f>
      </c>
      <c s="72">
        <f>IF('[1]Leakage Tree Data'!L116&lt;&gt;"",'[1]Leakage Tree Data'!L116,"")</f>
      </c>
      <c s="72">
        <f>IF('[1]Leakage Tree Data'!M116&lt;&gt;"",'[1]Leakage Tree Data'!M116,"")</f>
      </c>
      <c s="72">
        <f>IF('[1]Leakage Tree Data'!N116&lt;&gt;"",'[1]Leakage Tree Data'!N116,"")</f>
      </c>
      <c s="72">
        <f>IF('[1]Leakage Tree Data'!O116&lt;&gt;"",'[1]Leakage Tree Data'!O116,"")</f>
      </c>
      <c s="72">
        <f>IF('[1]Leakage Tree Data'!P116&lt;&gt;"",'[1]Leakage Tree Data'!P116,"")</f>
      </c>
      <c s="72">
        <f>IF('[1]Leakage Tree Data'!Q116&lt;&gt;"",'[1]Leakage Tree Data'!Q116,"")</f>
      </c>
      <c s="72">
        <f>IF('[1]Leakage Tree Data'!R116&lt;&gt;"",'[1]Leakage Tree Data'!R116,"")</f>
        <v>1017625.85098267</v>
      </c>
      <c s="72">
        <f>IF('[1]Leakage Tree Data'!S116&lt;&gt;"",'[1]Leakage Tree Data'!S116,"")</f>
        <v>-241663.597015381</v>
      </c>
      <c s="72">
        <f>IF('[1]Leakage Tree Data'!T116&lt;&gt;"",'[1]Leakage Tree Data'!T116,"")</f>
        <v>-0.208318895858706</v>
      </c>
      <c s="72">
        <f>IF('[1]Leakage Tree Data'!U116&lt;&gt;"",'[1]Leakage Tree Data'!U116,"")</f>
        <v>1259289.44799805</v>
      </c>
      <c s="72">
        <f>IF('[1]Leakage Tree Data'!V116&lt;&gt;"",'[1]Leakage Tree Data'!V116,"")</f>
        <v>0.20831889585871</v>
      </c>
      <c s="72">
        <f>IF('[1]Leakage Tree Data'!W116&lt;&gt;"",'[1]Leakage Tree Data'!W116,"")</f>
        <v>-1855949.2237854</v>
      </c>
      <c s="72">
        <f>IF('[1]Leakage Tree Data'!X116&lt;&gt;"",'[1]Leakage Tree Data'!X116,"")</f>
      </c>
      <c s="72">
        <f>IF('[1]Leakage Tree Data'!Y116&lt;&gt;"",'[1]Leakage Tree Data'!Y116,"")</f>
      </c>
      <c s="72">
        <f>IF('[1]Leakage Tree Data'!Z116&lt;&gt;"",'[1]Leakage Tree Data'!Z116,"")</f>
      </c>
      <c s="72">
        <f>IF('[1]Leakage Tree Data'!AA116&lt;&gt;"",'[1]Leakage Tree Data'!AA116,"")</f>
      </c>
      <c s="72">
        <f>IF('[1]Leakage Tree Data'!AB116&lt;&gt;"",'[1]Leakage Tree Data'!AB116,"")</f>
      </c>
      <c s="72">
        <f>IF('[1]Leakage Tree Data'!AC116&lt;&gt;"",'[1]Leakage Tree Data'!AC116,"")</f>
      </c>
      <c s="72">
        <f>IF('[1]Leakage Tree Data'!AD116&lt;&gt;"",'[1]Leakage Tree Data'!AD116,"")</f>
      </c>
      <c s="72">
        <f>IF('[1]Leakage Tree Data'!AE116&lt;&gt;"",'[1]Leakage Tree Data'!AE116,"")</f>
      </c>
      <c s="73">
        <f t="shared" si="28"/>
      </c>
      <c s="73">
        <f t="shared" si="29"/>
      </c>
      <c s="73">
        <f t="shared" si="30"/>
      </c>
      <c s="73">
        <f t="shared" si="31"/>
      </c>
      <c s="74">
        <f t="shared" si="32"/>
      </c>
      <c s="74">
        <f t="shared" si="33"/>
      </c>
      <c s="69" t="str">
        <f t="shared" si="17"/>
        <v>Total US - Barnesnoble.com</v>
      </c>
      <c s="69" t="str">
        <f t="shared" si="18"/>
        <v>Total US - Internet</v>
      </c>
      <c s="77"/>
    </row>
    <row r="218" spans="1:141" s="92" customFormat="1" ht="15">
      <c r="A2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218,$AL$8:$AL$15,1,FALSE))=TRUE,IF(AND(CV218=CW218,CV218&lt;&gt;"",DI$111&lt;&gt;"",DK218&lt;&gt;""),IF(CW$101="Y",DK218-IF(ISERROR(VLOOKUP(CV218,$CA$113:$DK$300,37,FALSE))=TRUE,0,IF(VLOOKUP(CV218,$CA$113:$DK$300,37,FALSE)="",0,VLOOKUP(CV218,$CA$113:$DK$300,37,FALSE))),DK218-IF(AND(CW$102="Y",CV218=$CW$111),DI$111,0)),""),"")</f>
      </c>
      <c s="76">
        <f>IF(ISERROR(VLOOKUP(CV218,$AL$8:$AL$15,1,FALSE))=TRUE,IF(CB218&lt;&gt;"",IF(CB218&gt;0,IF(Z$4&lt;&gt;"",MIN(4,RANK(CB218,$CB$111:$CB$300)),RANK(CB218,$CB$111:$CB$300)),""),""),"")</f>
      </c>
      <c s="75">
        <f>IF(ISERROR(VLOOKUP(CV218,$AL$8:$AL$15,1,FALSE))=TRUE,IF(AND(ISERROR(FIND("NeighMkt",$CX$102))=FALSE,LEFT($CW$111,10)="ALL OUTLET",$CA218&lt;&gt;"",DK218&lt;&gt;""),"",IF(AND($CV218&lt;&gt;$CW218,$CW218=CD$110),$DK218,"")),"")</f>
      </c>
      <c s="76">
        <f>IF(ISERROR(VLOOKUP(CV218,$AL$8:$AL$15,1,FALSE))=TRUE,IF(CD218&lt;&gt;"",IF(CD218&gt;0,RANK(CD218,$CD$111:$CD$300),""),""),"")</f>
      </c>
      <c s="75">
        <f>IF(ISERROR(VLOOKUP(CV218,$AL$8:$AL$15,1,FALSE))=TRUE,IF(AND(ISERROR(FIND("NeighMkt",$CX$102))=FALSE,LEFT($CW$111,10)="ALL OUTLET",$CA218&lt;&gt;"",DK218&lt;&gt;""),"",IF(AND($CV218&lt;&gt;$CW218,$CW218=CF$110),$DK218,"")),"")</f>
      </c>
      <c s="76">
        <f>IF(ISERROR(VLOOKUP(CV218,$AL$8:$AL$15,1,FALSE))=TRUE,IF(CF218&lt;&gt;"",IF(CF218&gt;0,RANK(CF218,$CF$111:$CF$300),""),""),"")</f>
      </c>
      <c s="75">
        <f>IF(ISERROR(VLOOKUP(CV218,$AL$8:$AL$15,1,FALSE))=TRUE,IF(AND(ISERROR(FIND("NeighMkt",$CX$102))=FALSE,LEFT($CW$111,10)="ALL OUTLET",$CA218&lt;&gt;"",DK218&lt;&gt;""),"",IF(AND($CV218&lt;&gt;$CW218,$CW218=CH$110),$DK218,"")),"")</f>
      </c>
      <c s="76">
        <f>IF(ISERROR(VLOOKUP(CV218,$AL$8:$AL$15,1,FALSE))=TRUE,IF(CH218&lt;&gt;"",IF(CH218&gt;0,RANK(CH218,$CH$111:$CH$300),""),""),"")</f>
      </c>
      <c s="75">
        <f>IF(ISERROR(VLOOKUP(CV218,$AL$8:$AL$15,1,FALSE))=TRUE,IF(AND(ISERROR(FIND("NeighMkt",$CX$102))=FALSE,LEFT($CW$111,10)="ALL OUTLET",$CA218&lt;&gt;"",DK218&lt;&gt;""),"",IF($Z$4="",IF(AND($CV218&lt;&gt;$CW218,$CW218=CJ$110),$DK218,""),IF(AND($CV218&lt;&gt;$CW218,$CW218&lt;&gt;CD$110,$CW218&lt;&gt;CF$110,$CW218&lt;&gt;CH$110,$CW218&lt;&gt;$CV$111),$DK218,""))),"")</f>
      </c>
      <c s="76">
        <f>IF(ISERROR(VLOOKUP(CV218,$AL$8:$AL$15,1,FALSE))=TRUE,IF(CJ218&lt;&gt;"",IF(CJ218&gt;0,RANK(CJ218,$CJ$111:$CJ$300),""),""),"")</f>
      </c>
      <c s="75">
        <f>IF(ISERROR(VLOOKUP(CV218,$AL$8:$AL$15,1,FALSE))=TRUE,IF(AND(CV218=CW218,CV218&lt;&gt;"",DJ218&lt;&gt;""),IF(AND(ISERROR(FIND("NeighMkt",$CX$102))=FALSE,LEFT($CW$111,10)="ALL OUTLET"),DJ218-IF(ISERROR(VLOOKUP(CV218,$CA$113:$DK$300,36,FALSE))=TRUE,0,IF(VLOOKUP(CV218,$CA$113:$DK$300,36,FALSE)="",0,VLOOKUP(CV218,$CA$113:$DK$300,36,FALSE))),DJ218),""),"")</f>
      </c>
      <c s="76">
        <f>IF(ISERROR(VLOOKUP(CV218,$AL$8:$AL$15,1,FALSE))=TRUE,IF(CL218&lt;&gt;"",IF(CL218&gt;0,IF($Z$4&lt;&gt;"",MIN(4,RANK(CL218,$CL$111:$CL$300)),RANK(CL218,$CL$111:$CL$300)),""),""),"")</f>
      </c>
      <c s="75">
        <f>IF(ISERROR(VLOOKUP(CV218,$AL$8:$AL$15,1,FALSE))=TRUE,IF(AND(ISERROR(FIND("NeighMkt",$CX$102))=FALSE,LEFT($CW$111,10)="ALL OUTLET",$CA218&lt;&gt;"",DJ218&lt;&gt;""),"",IF(AND($CV218&lt;&gt;$CW218,$CW218=CN$110),$DJ218,"")),"")</f>
      </c>
      <c s="76">
        <f>IF(ISERROR(VLOOKUP(CV218,$AL$8:$AL$15,1,FALSE))=TRUE,IF(CN218&lt;&gt;"",IF(CN218&gt;0,RANK(CN218,$CN$111:$CN$300),""),""),"")</f>
      </c>
      <c s="75">
        <f>IF(ISERROR(VLOOKUP(CV218,$AL$8:$AL$15,1,FALSE))=TRUE,IF(AND(ISERROR(FIND("NeighMkt",$CX$102))=FALSE,LEFT($CW$111,10)="ALL OUTLET",$CA218&lt;&gt;"",DJ218&lt;&gt;""),"",IF(AND($CV218&lt;&gt;$CW218,$CW218=CP$110),$DJ218,"")),"")</f>
      </c>
      <c s="76">
        <f>IF(ISERROR(VLOOKUP(CV218,$AL$8:$AL$15,1,FALSE))=TRUE,IF(CP218&lt;&gt;"",IF(CP218&gt;0,RANK(CP218,$CP$111:$CP$300),""),""),"")</f>
      </c>
      <c s="75">
        <f>IF(ISERROR(VLOOKUP(CV218,$AL$8:$AL$15,1,FALSE))=TRUE,IF(AND(ISERROR(FIND("NeighMkt",$CX$102))=FALSE,LEFT($CW$111,10)="ALL OUTLET",$CA218&lt;&gt;"",DJ218&lt;&gt;""),"",IF(AND($CV218&lt;&gt;$CW218,$CW218=CR$110),$DJ218,"")),"")</f>
      </c>
      <c s="76">
        <f>IF(ISERROR(VLOOKUP(CV218,$AL$8:$AL$15,1,FALSE))=TRUE,IF(CR218&lt;&gt;"",IF(CR218&gt;0,RANK(CR218,$CR$111:$CR$300),""),""),"")</f>
      </c>
      <c s="75">
        <f>IF(ISERROR(VLOOKUP(CV218,$AL$8:$AL$15,1,FALSE))=TRUE,IF(AND(ISERROR(FIND("NeighMkt",$CX$102))=FALSE,LEFT($CW$111,10)="ALL OUTLET",$CA218&lt;&gt;"",DJ218&lt;&gt;""),"",IF($Z$4="",IF(AND($CV218&lt;&gt;$CW218,$CW218=CT$110),$DJ218,""),IF(AND($CV218&lt;&gt;$CW218,$CW218&lt;&gt;CN$110,$CW218&lt;&gt;CP$110,$CW218&lt;&gt;CR$110,$CW218&lt;&gt;$CV$111),$DJ218,""))),"")</f>
      </c>
      <c s="76">
        <f>IF(ISERROR(VLOOKUP(CV218,$AL$8:$AL$15,1,FALSE))=TRUE,IF(CT218&lt;&gt;"",IF(CT218&gt;0,RANK(CT218,$CT$111:$CT$300),""),""),"")</f>
      </c>
      <c s="65" t="str">
        <f t="shared" si="19"/>
        <v>Bestbuy.com</v>
      </c>
      <c s="65" t="str">
        <f t="shared" si="20"/>
        <v>Internet</v>
      </c>
      <c s="72" t="str">
        <f>IF('[1]Leakage Tree Data'!A117&lt;&gt;"",'[1]Leakage Tree Data'!A117,"")</f>
        <v>Total US - Bestbuy.com</v>
      </c>
      <c s="72" t="str">
        <f>IF('[1]Leakage Tree Data'!B117&lt;&gt;"",'[1]Leakage Tree Data'!B117,"")</f>
        <v>Total US - Internet</v>
      </c>
      <c s="72">
        <f>IF('[1]Leakage Tree Data'!C117&lt;&gt;"",'[1]Leakage Tree Data'!C117,"")</f>
        <v>121171760.292236</v>
      </c>
      <c s="72">
        <f>IF('[1]Leakage Tree Data'!D117&lt;&gt;"",'[1]Leakage Tree Data'!D117,"")</f>
        <v>2747422.6835022</v>
      </c>
      <c s="72">
        <f>IF('[1]Leakage Tree Data'!E117&lt;&gt;"",'[1]Leakage Tree Data'!E117,"")</f>
        <v>2.26737870018236</v>
      </c>
      <c s="72">
        <f>IF('[1]Leakage Tree Data'!F117&lt;&gt;"",'[1]Leakage Tree Data'!F117,"")</f>
        <v>118424337.608734</v>
      </c>
      <c s="72">
        <f>IF('[1]Leakage Tree Data'!G117&lt;&gt;"",'[1]Leakage Tree Data'!G117,"")</f>
        <v>97.7326212998176</v>
      </c>
      <c s="72">
        <f>IF('[1]Leakage Tree Data'!H117&lt;&gt;"",'[1]Leakage Tree Data'!H117,"")</f>
        <v>61518209.9918823</v>
      </c>
      <c s="72" t="str">
        <f>IF('[1]Leakage Tree Data'!I117&lt;&gt;"",'[1]Leakage Tree Data'!I117,"")</f>
        <v>Internet</v>
      </c>
      <c s="72">
        <f>IF('[1]Leakage Tree Data'!J117&lt;&gt;"",'[1]Leakage Tree Data'!J117,"")</f>
      </c>
      <c s="72">
        <f>IF('[1]Leakage Tree Data'!K117&lt;&gt;"",'[1]Leakage Tree Data'!K117,"")</f>
      </c>
      <c s="72">
        <f>IF('[1]Leakage Tree Data'!L117&lt;&gt;"",'[1]Leakage Tree Data'!L117,"")</f>
      </c>
      <c s="72">
        <f>IF('[1]Leakage Tree Data'!M117&lt;&gt;"",'[1]Leakage Tree Data'!M117,"")</f>
      </c>
      <c s="72">
        <f>IF('[1]Leakage Tree Data'!N117&lt;&gt;"",'[1]Leakage Tree Data'!N117,"")</f>
      </c>
      <c s="72">
        <f>IF('[1]Leakage Tree Data'!O117&lt;&gt;"",'[1]Leakage Tree Data'!O117,"")</f>
      </c>
      <c s="72">
        <f>IF('[1]Leakage Tree Data'!P117&lt;&gt;"",'[1]Leakage Tree Data'!P117,"")</f>
      </c>
      <c s="72">
        <f>IF('[1]Leakage Tree Data'!Q117&lt;&gt;"",'[1]Leakage Tree Data'!Q117,"")</f>
      </c>
      <c s="72">
        <f>IF('[1]Leakage Tree Data'!R117&lt;&gt;"",'[1]Leakage Tree Data'!R117,"")</f>
        <v>1017625.85098267</v>
      </c>
      <c s="72">
        <f>IF('[1]Leakage Tree Data'!S117&lt;&gt;"",'[1]Leakage Tree Data'!S117,"")</f>
        <v>31482.8312988281</v>
      </c>
      <c s="72">
        <f>IF('[1]Leakage Tree Data'!T117&lt;&gt;"",'[1]Leakage Tree Data'!T117,"")</f>
        <v>0.00699884323182332</v>
      </c>
      <c s="72">
        <f>IF('[1]Leakage Tree Data'!U117&lt;&gt;"",'[1]Leakage Tree Data'!U117,"")</f>
        <v>986143.019683838</v>
      </c>
      <c s="72">
        <f>IF('[1]Leakage Tree Data'!V117&lt;&gt;"",'[1]Leakage Tree Data'!V117,"")</f>
        <v>-0.00699884323182687</v>
      </c>
      <c s="72">
        <f>IF('[1]Leakage Tree Data'!W117&lt;&gt;"",'[1]Leakage Tree Data'!W117,"")</f>
        <v>-1855949.2237854</v>
      </c>
      <c s="72">
        <f>IF('[1]Leakage Tree Data'!X117&lt;&gt;"",'[1]Leakage Tree Data'!X117,"")</f>
      </c>
      <c s="72">
        <f>IF('[1]Leakage Tree Data'!Y117&lt;&gt;"",'[1]Leakage Tree Data'!Y117,"")</f>
      </c>
      <c s="72">
        <f>IF('[1]Leakage Tree Data'!Z117&lt;&gt;"",'[1]Leakage Tree Data'!Z117,"")</f>
      </c>
      <c s="72">
        <f>IF('[1]Leakage Tree Data'!AA117&lt;&gt;"",'[1]Leakage Tree Data'!AA117,"")</f>
      </c>
      <c s="72">
        <f>IF('[1]Leakage Tree Data'!AB117&lt;&gt;"",'[1]Leakage Tree Data'!AB117,"")</f>
      </c>
      <c s="72">
        <f>IF('[1]Leakage Tree Data'!AC117&lt;&gt;"",'[1]Leakage Tree Data'!AC117,"")</f>
      </c>
      <c s="72">
        <f>IF('[1]Leakage Tree Data'!AD117&lt;&gt;"",'[1]Leakage Tree Data'!AD117,"")</f>
      </c>
      <c s="72">
        <f>IF('[1]Leakage Tree Data'!AE117&lt;&gt;"",'[1]Leakage Tree Data'!AE117,"")</f>
      </c>
      <c s="73">
        <f t="shared" si="28"/>
      </c>
      <c s="73">
        <f t="shared" si="29"/>
      </c>
      <c s="73">
        <f t="shared" si="30"/>
      </c>
      <c s="73">
        <f t="shared" si="31"/>
      </c>
      <c s="74">
        <f t="shared" si="32"/>
      </c>
      <c s="74">
        <f t="shared" si="33"/>
      </c>
      <c s="69" t="str">
        <f t="shared" si="17"/>
        <v>Total US - Bestbuy.com</v>
      </c>
      <c s="69" t="str">
        <f t="shared" si="18"/>
        <v>Total US - Internet</v>
      </c>
      <c s="77"/>
    </row>
    <row r="219" spans="1:141" s="92" customFormat="1" ht="15">
      <c r="A2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219,$AL$8:$AL$15,1,FALSE))=TRUE,IF(AND(CV219=CW219,CV219&lt;&gt;"",DI$111&lt;&gt;"",DK219&lt;&gt;""),IF(CW$101="Y",DK219-IF(ISERROR(VLOOKUP(CV219,$CA$113:$DK$300,37,FALSE))=TRUE,0,IF(VLOOKUP(CV219,$CA$113:$DK$300,37,FALSE)="",0,VLOOKUP(CV219,$CA$113:$DK$300,37,FALSE))),DK219-IF(AND(CW$102="Y",CV219=$CW$111),DI$111,0)),""),"")</f>
      </c>
      <c s="76">
        <f>IF(ISERROR(VLOOKUP(CV219,$AL$8:$AL$15,1,FALSE))=TRUE,IF(CB219&lt;&gt;"",IF(CB219&gt;0,IF(Z$4&lt;&gt;"",MIN(4,RANK(CB219,$CB$111:$CB$300)),RANK(CB219,$CB$111:$CB$300)),""),""),"")</f>
      </c>
      <c s="75">
        <f>IF(ISERROR(VLOOKUP(CV219,$AL$8:$AL$15,1,FALSE))=TRUE,IF(AND(ISERROR(FIND("NeighMkt",$CX$102))=FALSE,LEFT($CW$111,10)="ALL OUTLET",$CA219&lt;&gt;"",DK219&lt;&gt;""),"",IF(AND($CV219&lt;&gt;$CW219,$CW219=CD$110),$DK219,"")),"")</f>
      </c>
      <c s="76">
        <f>IF(ISERROR(VLOOKUP(CV219,$AL$8:$AL$15,1,FALSE))=TRUE,IF(CD219&lt;&gt;"",IF(CD219&gt;0,RANK(CD219,$CD$111:$CD$300),""),""),"")</f>
      </c>
      <c s="75">
        <f>IF(ISERROR(VLOOKUP(CV219,$AL$8:$AL$15,1,FALSE))=TRUE,IF(AND(ISERROR(FIND("NeighMkt",$CX$102))=FALSE,LEFT($CW$111,10)="ALL OUTLET",$CA219&lt;&gt;"",DK219&lt;&gt;""),"",IF(AND($CV219&lt;&gt;$CW219,$CW219=CF$110),$DK219,"")),"")</f>
      </c>
      <c s="76">
        <f>IF(ISERROR(VLOOKUP(CV219,$AL$8:$AL$15,1,FALSE))=TRUE,IF(CF219&lt;&gt;"",IF(CF219&gt;0,RANK(CF219,$CF$111:$CF$300),""),""),"")</f>
      </c>
      <c s="75">
        <f>IF(ISERROR(VLOOKUP(CV219,$AL$8:$AL$15,1,FALSE))=TRUE,IF(AND(ISERROR(FIND("NeighMkt",$CX$102))=FALSE,LEFT($CW$111,10)="ALL OUTLET",$CA219&lt;&gt;"",DK219&lt;&gt;""),"",IF(AND($CV219&lt;&gt;$CW219,$CW219=CH$110),$DK219,"")),"")</f>
      </c>
      <c s="76">
        <f>IF(ISERROR(VLOOKUP(CV219,$AL$8:$AL$15,1,FALSE))=TRUE,IF(CH219&lt;&gt;"",IF(CH219&gt;0,RANK(CH219,$CH$111:$CH$300),""),""),"")</f>
      </c>
      <c s="75">
        <f>IF(ISERROR(VLOOKUP(CV219,$AL$8:$AL$15,1,FALSE))=TRUE,IF(AND(ISERROR(FIND("NeighMkt",$CX$102))=FALSE,LEFT($CW$111,10)="ALL OUTLET",$CA219&lt;&gt;"",DK219&lt;&gt;""),"",IF($Z$4="",IF(AND($CV219&lt;&gt;$CW219,$CW219=CJ$110),$DK219,""),IF(AND($CV219&lt;&gt;$CW219,$CW219&lt;&gt;CD$110,$CW219&lt;&gt;CF$110,$CW219&lt;&gt;CH$110,$CW219&lt;&gt;$CV$111),$DK219,""))),"")</f>
      </c>
      <c s="76">
        <f>IF(ISERROR(VLOOKUP(CV219,$AL$8:$AL$15,1,FALSE))=TRUE,IF(CJ219&lt;&gt;"",IF(CJ219&gt;0,RANK(CJ219,$CJ$111:$CJ$300),""),""),"")</f>
      </c>
      <c s="75">
        <f>IF(ISERROR(VLOOKUP(CV219,$AL$8:$AL$15,1,FALSE))=TRUE,IF(AND(CV219=CW219,CV219&lt;&gt;"",DJ219&lt;&gt;""),IF(AND(ISERROR(FIND("NeighMkt",$CX$102))=FALSE,LEFT($CW$111,10)="ALL OUTLET"),DJ219-IF(ISERROR(VLOOKUP(CV219,$CA$113:$DK$300,36,FALSE))=TRUE,0,IF(VLOOKUP(CV219,$CA$113:$DK$300,36,FALSE)="",0,VLOOKUP(CV219,$CA$113:$DK$300,36,FALSE))),DJ219),""),"")</f>
      </c>
      <c s="76">
        <f>IF(ISERROR(VLOOKUP(CV219,$AL$8:$AL$15,1,FALSE))=TRUE,IF(CL219&lt;&gt;"",IF(CL219&gt;0,IF($Z$4&lt;&gt;"",MIN(4,RANK(CL219,$CL$111:$CL$300)),RANK(CL219,$CL$111:$CL$300)),""),""),"")</f>
      </c>
      <c s="75">
        <f>IF(ISERROR(VLOOKUP(CV219,$AL$8:$AL$15,1,FALSE))=TRUE,IF(AND(ISERROR(FIND("NeighMkt",$CX$102))=FALSE,LEFT($CW$111,10)="ALL OUTLET",$CA219&lt;&gt;"",DJ219&lt;&gt;""),"",IF(AND($CV219&lt;&gt;$CW219,$CW219=CN$110),$DJ219,"")),"")</f>
      </c>
      <c s="76">
        <f>IF(ISERROR(VLOOKUP(CV219,$AL$8:$AL$15,1,FALSE))=TRUE,IF(CN219&lt;&gt;"",IF(CN219&gt;0,RANK(CN219,$CN$111:$CN$300),""),""),"")</f>
      </c>
      <c s="75">
        <f>IF(ISERROR(VLOOKUP(CV219,$AL$8:$AL$15,1,FALSE))=TRUE,IF(AND(ISERROR(FIND("NeighMkt",$CX$102))=FALSE,LEFT($CW$111,10)="ALL OUTLET",$CA219&lt;&gt;"",DJ219&lt;&gt;""),"",IF(AND($CV219&lt;&gt;$CW219,$CW219=CP$110),$DJ219,"")),"")</f>
      </c>
      <c s="76">
        <f>IF(ISERROR(VLOOKUP(CV219,$AL$8:$AL$15,1,FALSE))=TRUE,IF(CP219&lt;&gt;"",IF(CP219&gt;0,RANK(CP219,$CP$111:$CP$300),""),""),"")</f>
      </c>
      <c s="75">
        <f>IF(ISERROR(VLOOKUP(CV219,$AL$8:$AL$15,1,FALSE))=TRUE,IF(AND(ISERROR(FIND("NeighMkt",$CX$102))=FALSE,LEFT($CW$111,10)="ALL OUTLET",$CA219&lt;&gt;"",DJ219&lt;&gt;""),"",IF(AND($CV219&lt;&gt;$CW219,$CW219=CR$110),$DJ219,"")),"")</f>
      </c>
      <c s="76">
        <f>IF(ISERROR(VLOOKUP(CV219,$AL$8:$AL$15,1,FALSE))=TRUE,IF(CR219&lt;&gt;"",IF(CR219&gt;0,RANK(CR219,$CR$111:$CR$300),""),""),"")</f>
      </c>
      <c s="75">
        <f>IF(ISERROR(VLOOKUP(CV219,$AL$8:$AL$15,1,FALSE))=TRUE,IF(AND(ISERROR(FIND("NeighMkt",$CX$102))=FALSE,LEFT($CW$111,10)="ALL OUTLET",$CA219&lt;&gt;"",DJ219&lt;&gt;""),"",IF($Z$4="",IF(AND($CV219&lt;&gt;$CW219,$CW219=CT$110),$DJ219,""),IF(AND($CV219&lt;&gt;$CW219,$CW219&lt;&gt;CN$110,$CW219&lt;&gt;CP$110,$CW219&lt;&gt;CR$110,$CW219&lt;&gt;$CV$111),$DJ219,""))),"")</f>
      </c>
      <c s="76">
        <f>IF(ISERROR(VLOOKUP(CV219,$AL$8:$AL$15,1,FALSE))=TRUE,IF(CT219&lt;&gt;"",IF(CT219&gt;0,RANK(CT219,$CT$111:$CT$300),""),""),"")</f>
      </c>
      <c s="65" t="str">
        <f t="shared" si="19"/>
        <v>Bjs.com</v>
      </c>
      <c s="65" t="str">
        <f t="shared" si="20"/>
        <v>Internet</v>
      </c>
      <c s="72" t="str">
        <f>IF('[1]Leakage Tree Data'!A118&lt;&gt;"",'[1]Leakage Tree Data'!A118,"")</f>
        <v>Total US - Bjs.com</v>
      </c>
      <c s="72" t="str">
        <f>IF('[1]Leakage Tree Data'!B118&lt;&gt;"",'[1]Leakage Tree Data'!B118,"")</f>
        <v>Total US - Internet</v>
      </c>
      <c s="72">
        <f>IF('[1]Leakage Tree Data'!C118&lt;&gt;"",'[1]Leakage Tree Data'!C118,"")</f>
        <v>121171760.292236</v>
      </c>
      <c s="72">
        <f>IF('[1]Leakage Tree Data'!D118&lt;&gt;"",'[1]Leakage Tree Data'!D118,"")</f>
        <v>433402.446533203</v>
      </c>
      <c s="72">
        <f>IF('[1]Leakage Tree Data'!E118&lt;&gt;"",'[1]Leakage Tree Data'!E118,"")</f>
        <v>0.357676116520833</v>
      </c>
      <c s="72">
        <f>IF('[1]Leakage Tree Data'!F118&lt;&gt;"",'[1]Leakage Tree Data'!F118,"")</f>
        <v>120738357.845703</v>
      </c>
      <c s="72">
        <f>IF('[1]Leakage Tree Data'!G118&lt;&gt;"",'[1]Leakage Tree Data'!G118,"")</f>
        <v>99.6423238834792</v>
      </c>
      <c s="72">
        <f>IF('[1]Leakage Tree Data'!H118&lt;&gt;"",'[1]Leakage Tree Data'!H118,"")</f>
        <v>61518209.9918823</v>
      </c>
      <c s="72" t="str">
        <f>IF('[1]Leakage Tree Data'!I118&lt;&gt;"",'[1]Leakage Tree Data'!I118,"")</f>
        <v>Internet</v>
      </c>
      <c s="72">
        <f>IF('[1]Leakage Tree Data'!J118&lt;&gt;"",'[1]Leakage Tree Data'!J118,"")</f>
      </c>
      <c s="72">
        <f>IF('[1]Leakage Tree Data'!K118&lt;&gt;"",'[1]Leakage Tree Data'!K118,"")</f>
      </c>
      <c s="72">
        <f>IF('[1]Leakage Tree Data'!L118&lt;&gt;"",'[1]Leakage Tree Data'!L118,"")</f>
      </c>
      <c s="72">
        <f>IF('[1]Leakage Tree Data'!M118&lt;&gt;"",'[1]Leakage Tree Data'!M118,"")</f>
      </c>
      <c s="72">
        <f>IF('[1]Leakage Tree Data'!N118&lt;&gt;"",'[1]Leakage Tree Data'!N118,"")</f>
      </c>
      <c s="72">
        <f>IF('[1]Leakage Tree Data'!O118&lt;&gt;"",'[1]Leakage Tree Data'!O118,"")</f>
      </c>
      <c s="72">
        <f>IF('[1]Leakage Tree Data'!P118&lt;&gt;"",'[1]Leakage Tree Data'!P118,"")</f>
      </c>
      <c s="72">
        <f>IF('[1]Leakage Tree Data'!Q118&lt;&gt;"",'[1]Leakage Tree Data'!Q118,"")</f>
      </c>
      <c s="72">
        <f>IF('[1]Leakage Tree Data'!R118&lt;&gt;"",'[1]Leakage Tree Data'!R118,"")</f>
        <v>1017625.85098267</v>
      </c>
      <c s="72">
        <f>IF('[1]Leakage Tree Data'!S118&lt;&gt;"",'[1]Leakage Tree Data'!S118,"")</f>
        <v>21118.7998046875</v>
      </c>
      <c s="72">
        <f>IF('[1]Leakage Tree Data'!T118&lt;&gt;"",'[1]Leakage Tree Data'!T118,"")</f>
        <v>0.0145471441839786</v>
      </c>
      <c s="72">
        <f>IF('[1]Leakage Tree Data'!U118&lt;&gt;"",'[1]Leakage Tree Data'!U118,"")</f>
        <v>996507.051177979</v>
      </c>
      <c s="72">
        <f>IF('[1]Leakage Tree Data'!V118&lt;&gt;"",'[1]Leakage Tree Data'!V118,"")</f>
        <v>-0.0145471441839788</v>
      </c>
      <c s="72">
        <f>IF('[1]Leakage Tree Data'!W118&lt;&gt;"",'[1]Leakage Tree Data'!W118,"")</f>
        <v>-1855949.2237854</v>
      </c>
      <c s="72">
        <f>IF('[1]Leakage Tree Data'!X118&lt;&gt;"",'[1]Leakage Tree Data'!X118,"")</f>
      </c>
      <c s="72">
        <f>IF('[1]Leakage Tree Data'!Y118&lt;&gt;"",'[1]Leakage Tree Data'!Y118,"")</f>
      </c>
      <c s="72">
        <f>IF('[1]Leakage Tree Data'!Z118&lt;&gt;"",'[1]Leakage Tree Data'!Z118,"")</f>
      </c>
      <c s="72">
        <f>IF('[1]Leakage Tree Data'!AA118&lt;&gt;"",'[1]Leakage Tree Data'!AA118,"")</f>
      </c>
      <c s="72">
        <f>IF('[1]Leakage Tree Data'!AB118&lt;&gt;"",'[1]Leakage Tree Data'!AB118,"")</f>
      </c>
      <c s="72">
        <f>IF('[1]Leakage Tree Data'!AC118&lt;&gt;"",'[1]Leakage Tree Data'!AC118,"")</f>
      </c>
      <c s="72">
        <f>IF('[1]Leakage Tree Data'!AD118&lt;&gt;"",'[1]Leakage Tree Data'!AD118,"")</f>
      </c>
      <c s="72">
        <f>IF('[1]Leakage Tree Data'!AE118&lt;&gt;"",'[1]Leakage Tree Data'!AE118,"")</f>
      </c>
      <c s="73">
        <f t="shared" si="28"/>
      </c>
      <c s="73">
        <f t="shared" si="29"/>
      </c>
      <c s="73">
        <f t="shared" si="30"/>
      </c>
      <c s="73">
        <f t="shared" si="31"/>
      </c>
      <c s="74">
        <f t="shared" si="32"/>
      </c>
      <c s="74">
        <f t="shared" si="33"/>
      </c>
      <c s="69" t="str">
        <f t="shared" si="17"/>
        <v>Total US - Bjs.com</v>
      </c>
      <c s="69" t="str">
        <f t="shared" si="18"/>
        <v>Total US - Internet</v>
      </c>
      <c s="77"/>
    </row>
    <row r="220" spans="1:141" s="92" customFormat="1" ht="15">
      <c r="A2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220,$AL$8:$AL$15,1,FALSE))=TRUE,IF(AND(CV220=CW220,CV220&lt;&gt;"",DI$111&lt;&gt;"",DK220&lt;&gt;""),IF(CW$101="Y",DK220-IF(ISERROR(VLOOKUP(CV220,$CA$113:$DK$300,37,FALSE))=TRUE,0,IF(VLOOKUP(CV220,$CA$113:$DK$300,37,FALSE)="",0,VLOOKUP(CV220,$CA$113:$DK$300,37,FALSE))),DK220-IF(AND(CW$102="Y",CV220=$CW$111),DI$111,0)),""),"")</f>
      </c>
      <c s="76">
        <f>IF(ISERROR(VLOOKUP(CV220,$AL$8:$AL$15,1,FALSE))=TRUE,IF(CB220&lt;&gt;"",IF(CB220&gt;0,IF(Z$4&lt;&gt;"",MIN(4,RANK(CB220,$CB$111:$CB$300)),RANK(CB220,$CB$111:$CB$300)),""),""),"")</f>
      </c>
      <c s="75">
        <f>IF(ISERROR(VLOOKUP(CV220,$AL$8:$AL$15,1,FALSE))=TRUE,IF(AND(ISERROR(FIND("NeighMkt",$CX$102))=FALSE,LEFT($CW$111,10)="ALL OUTLET",$CA220&lt;&gt;"",DK220&lt;&gt;""),"",IF(AND($CV220&lt;&gt;$CW220,$CW220=CD$110),$DK220,"")),"")</f>
      </c>
      <c s="76">
        <f>IF(ISERROR(VLOOKUP(CV220,$AL$8:$AL$15,1,FALSE))=TRUE,IF(CD220&lt;&gt;"",IF(CD220&gt;0,RANK(CD220,$CD$111:$CD$300),""),""),"")</f>
      </c>
      <c s="75">
        <f>IF(ISERROR(VLOOKUP(CV220,$AL$8:$AL$15,1,FALSE))=TRUE,IF(AND(ISERROR(FIND("NeighMkt",$CX$102))=FALSE,LEFT($CW$111,10)="ALL OUTLET",$CA220&lt;&gt;"",DK220&lt;&gt;""),"",IF(AND($CV220&lt;&gt;$CW220,$CW220=CF$110),$DK220,"")),"")</f>
      </c>
      <c s="76">
        <f>IF(ISERROR(VLOOKUP(CV220,$AL$8:$AL$15,1,FALSE))=TRUE,IF(CF220&lt;&gt;"",IF(CF220&gt;0,RANK(CF220,$CF$111:$CF$300),""),""),"")</f>
      </c>
      <c s="75">
        <f>IF(ISERROR(VLOOKUP(CV220,$AL$8:$AL$15,1,FALSE))=TRUE,IF(AND(ISERROR(FIND("NeighMkt",$CX$102))=FALSE,LEFT($CW$111,10)="ALL OUTLET",$CA220&lt;&gt;"",DK220&lt;&gt;""),"",IF(AND($CV220&lt;&gt;$CW220,$CW220=CH$110),$DK220,"")),"")</f>
      </c>
      <c s="76">
        <f>IF(ISERROR(VLOOKUP(CV220,$AL$8:$AL$15,1,FALSE))=TRUE,IF(CH220&lt;&gt;"",IF(CH220&gt;0,RANK(CH220,$CH$111:$CH$300),""),""),"")</f>
      </c>
      <c s="75">
        <f>IF(ISERROR(VLOOKUP(CV220,$AL$8:$AL$15,1,FALSE))=TRUE,IF(AND(ISERROR(FIND("NeighMkt",$CX$102))=FALSE,LEFT($CW$111,10)="ALL OUTLET",$CA220&lt;&gt;"",DK220&lt;&gt;""),"",IF($Z$4="",IF(AND($CV220&lt;&gt;$CW220,$CW220=CJ$110),$DK220,""),IF(AND($CV220&lt;&gt;$CW220,$CW220&lt;&gt;CD$110,$CW220&lt;&gt;CF$110,$CW220&lt;&gt;CH$110,$CW220&lt;&gt;$CV$111),$DK220,""))),"")</f>
      </c>
      <c s="76">
        <f>IF(ISERROR(VLOOKUP(CV220,$AL$8:$AL$15,1,FALSE))=TRUE,IF(CJ220&lt;&gt;"",IF(CJ220&gt;0,RANK(CJ220,$CJ$111:$CJ$300),""),""),"")</f>
      </c>
      <c s="75">
        <f>IF(ISERROR(VLOOKUP(CV220,$AL$8:$AL$15,1,FALSE))=TRUE,IF(AND(CV220=CW220,CV220&lt;&gt;"",DJ220&lt;&gt;""),IF(AND(ISERROR(FIND("NeighMkt",$CX$102))=FALSE,LEFT($CW$111,10)="ALL OUTLET"),DJ220-IF(ISERROR(VLOOKUP(CV220,$CA$113:$DK$300,36,FALSE))=TRUE,0,IF(VLOOKUP(CV220,$CA$113:$DK$300,36,FALSE)="",0,VLOOKUP(CV220,$CA$113:$DK$300,36,FALSE))),DJ220),""),"")</f>
      </c>
      <c s="76">
        <f>IF(ISERROR(VLOOKUP(CV220,$AL$8:$AL$15,1,FALSE))=TRUE,IF(CL220&lt;&gt;"",IF(CL220&gt;0,IF($Z$4&lt;&gt;"",MIN(4,RANK(CL220,$CL$111:$CL$300)),RANK(CL220,$CL$111:$CL$300)),""),""),"")</f>
      </c>
      <c s="75">
        <f>IF(ISERROR(VLOOKUP(CV220,$AL$8:$AL$15,1,FALSE))=TRUE,IF(AND(ISERROR(FIND("NeighMkt",$CX$102))=FALSE,LEFT($CW$111,10)="ALL OUTLET",$CA220&lt;&gt;"",DJ220&lt;&gt;""),"",IF(AND($CV220&lt;&gt;$CW220,$CW220=CN$110),$DJ220,"")),"")</f>
      </c>
      <c s="76">
        <f>IF(ISERROR(VLOOKUP(CV220,$AL$8:$AL$15,1,FALSE))=TRUE,IF(CN220&lt;&gt;"",IF(CN220&gt;0,RANK(CN220,$CN$111:$CN$300),""),""),"")</f>
      </c>
      <c s="75">
        <f>IF(ISERROR(VLOOKUP(CV220,$AL$8:$AL$15,1,FALSE))=TRUE,IF(AND(ISERROR(FIND("NeighMkt",$CX$102))=FALSE,LEFT($CW$111,10)="ALL OUTLET",$CA220&lt;&gt;"",DJ220&lt;&gt;""),"",IF(AND($CV220&lt;&gt;$CW220,$CW220=CP$110),$DJ220,"")),"")</f>
      </c>
      <c s="76">
        <f>IF(ISERROR(VLOOKUP(CV220,$AL$8:$AL$15,1,FALSE))=TRUE,IF(CP220&lt;&gt;"",IF(CP220&gt;0,RANK(CP220,$CP$111:$CP$300),""),""),"")</f>
      </c>
      <c s="75">
        <f>IF(ISERROR(VLOOKUP(CV220,$AL$8:$AL$15,1,FALSE))=TRUE,IF(AND(ISERROR(FIND("NeighMkt",$CX$102))=FALSE,LEFT($CW$111,10)="ALL OUTLET",$CA220&lt;&gt;"",DJ220&lt;&gt;""),"",IF(AND($CV220&lt;&gt;$CW220,$CW220=CR$110),$DJ220,"")),"")</f>
      </c>
      <c s="76">
        <f>IF(ISERROR(VLOOKUP(CV220,$AL$8:$AL$15,1,FALSE))=TRUE,IF(CR220&lt;&gt;"",IF(CR220&gt;0,RANK(CR220,$CR$111:$CR$300),""),""),"")</f>
      </c>
      <c s="75">
        <f>IF(ISERROR(VLOOKUP(CV220,$AL$8:$AL$15,1,FALSE))=TRUE,IF(AND(ISERROR(FIND("NeighMkt",$CX$102))=FALSE,LEFT($CW$111,10)="ALL OUTLET",$CA220&lt;&gt;"",DJ220&lt;&gt;""),"",IF($Z$4="",IF(AND($CV220&lt;&gt;$CW220,$CW220=CT$110),$DJ220,""),IF(AND($CV220&lt;&gt;$CW220,$CW220&lt;&gt;CN$110,$CW220&lt;&gt;CP$110,$CW220&lt;&gt;CR$110,$CW220&lt;&gt;$CV$111),$DJ220,""))),"")</f>
      </c>
      <c s="76">
        <f>IF(ISERROR(VLOOKUP(CV220,$AL$8:$AL$15,1,FALSE))=TRUE,IF(CT220&lt;&gt;"",IF(CT220&gt;0,RANK(CT220,$CT$111:$CT$300),""),""),"")</f>
      </c>
      <c s="65" t="str">
        <f t="shared" si="19"/>
        <v>CVS.com</v>
      </c>
      <c s="65" t="str">
        <f t="shared" si="20"/>
        <v>Internet</v>
      </c>
      <c s="72" t="str">
        <f>IF('[1]Leakage Tree Data'!A119&lt;&gt;"",'[1]Leakage Tree Data'!A119,"")</f>
        <v>Total US - CVS.com</v>
      </c>
      <c s="72" t="str">
        <f>IF('[1]Leakage Tree Data'!B119&lt;&gt;"",'[1]Leakage Tree Data'!B119,"")</f>
        <v>Total US - Internet</v>
      </c>
      <c s="72">
        <f>IF('[1]Leakage Tree Data'!C119&lt;&gt;"",'[1]Leakage Tree Data'!C119,"")</f>
        <v>121171760.292236</v>
      </c>
      <c s="72">
        <f>IF('[1]Leakage Tree Data'!D119&lt;&gt;"",'[1]Leakage Tree Data'!D119,"")</f>
        <v>1993857.82501221</v>
      </c>
      <c s="72">
        <f>IF('[1]Leakage Tree Data'!E119&lt;&gt;"",'[1]Leakage Tree Data'!E119,"")</f>
        <v>1.64548061380268</v>
      </c>
      <c s="72">
        <f>IF('[1]Leakage Tree Data'!F119&lt;&gt;"",'[1]Leakage Tree Data'!F119,"")</f>
        <v>119177902.467224</v>
      </c>
      <c s="72">
        <f>IF('[1]Leakage Tree Data'!G119&lt;&gt;"",'[1]Leakage Tree Data'!G119,"")</f>
        <v>98.3545193861973</v>
      </c>
      <c s="72">
        <f>IF('[1]Leakage Tree Data'!H119&lt;&gt;"",'[1]Leakage Tree Data'!H119,"")</f>
        <v>61518209.9918823</v>
      </c>
      <c s="72" t="str">
        <f>IF('[1]Leakage Tree Data'!I119&lt;&gt;"",'[1]Leakage Tree Data'!I119,"")</f>
        <v>Internet</v>
      </c>
      <c s="72">
        <f>IF('[1]Leakage Tree Data'!J119&lt;&gt;"",'[1]Leakage Tree Data'!J119,"")</f>
      </c>
      <c s="72">
        <f>IF('[1]Leakage Tree Data'!K119&lt;&gt;"",'[1]Leakage Tree Data'!K119,"")</f>
      </c>
      <c s="72">
        <f>IF('[1]Leakage Tree Data'!L119&lt;&gt;"",'[1]Leakage Tree Data'!L119,"")</f>
      </c>
      <c s="72">
        <f>IF('[1]Leakage Tree Data'!M119&lt;&gt;"",'[1]Leakage Tree Data'!M119,"")</f>
      </c>
      <c s="72">
        <f>IF('[1]Leakage Tree Data'!N119&lt;&gt;"",'[1]Leakage Tree Data'!N119,"")</f>
      </c>
      <c s="72">
        <f>IF('[1]Leakage Tree Data'!O119&lt;&gt;"",'[1]Leakage Tree Data'!O119,"")</f>
        <v>9.63209736968561</v>
      </c>
      <c s="72">
        <f>IF('[1]Leakage Tree Data'!P119&lt;&gt;"",'[1]Leakage Tree Data'!P119,"")</f>
        <v>186534.240944986</v>
      </c>
      <c s="72">
        <f>IF('[1]Leakage Tree Data'!Q119&lt;&gt;"",'[1]Leakage Tree Data'!Q119,"")</f>
      </c>
      <c s="72">
        <f>IF('[1]Leakage Tree Data'!R119&lt;&gt;"",'[1]Leakage Tree Data'!R119,"")</f>
        <v>1017625.85098267</v>
      </c>
      <c s="72">
        <f>IF('[1]Leakage Tree Data'!S119&lt;&gt;"",'[1]Leakage Tree Data'!S119,"")</f>
        <v>-234641.525939941</v>
      </c>
      <c s="72">
        <f>IF('[1]Leakage Tree Data'!T119&lt;&gt;"",'[1]Leakage Tree Data'!T119,"")</f>
        <v>-0.20921990176028</v>
      </c>
      <c s="72">
        <f>IF('[1]Leakage Tree Data'!U119&lt;&gt;"",'[1]Leakage Tree Data'!U119,"")</f>
        <v>1252267.37692261</v>
      </c>
      <c s="72">
        <f>IF('[1]Leakage Tree Data'!V119&lt;&gt;"",'[1]Leakage Tree Data'!V119,"")</f>
        <v>0.209219901760278</v>
      </c>
      <c s="72">
        <f>IF('[1]Leakage Tree Data'!W119&lt;&gt;"",'[1]Leakage Tree Data'!W119,"")</f>
        <v>-1855949.2237854</v>
      </c>
      <c s="72">
        <f>IF('[1]Leakage Tree Data'!X119&lt;&gt;"",'[1]Leakage Tree Data'!X119,"")</f>
      </c>
      <c s="72">
        <f>IF('[1]Leakage Tree Data'!Y119&lt;&gt;"",'[1]Leakage Tree Data'!Y119,"")</f>
      </c>
      <c s="72">
        <f>IF('[1]Leakage Tree Data'!Z119&lt;&gt;"",'[1]Leakage Tree Data'!Z119,"")</f>
      </c>
      <c s="72">
        <f>IF('[1]Leakage Tree Data'!AA119&lt;&gt;"",'[1]Leakage Tree Data'!AA119,"")</f>
      </c>
      <c s="72">
        <f>IF('[1]Leakage Tree Data'!AB119&lt;&gt;"",'[1]Leakage Tree Data'!AB119,"")</f>
      </c>
      <c s="72">
        <f>IF('[1]Leakage Tree Data'!AC119&lt;&gt;"",'[1]Leakage Tree Data'!AC119,"")</f>
      </c>
      <c s="72">
        <f>IF('[1]Leakage Tree Data'!AD119&lt;&gt;"",'[1]Leakage Tree Data'!AD119,"")</f>
        <v>2.33976236347263</v>
      </c>
      <c s="72">
        <f>IF('[1]Leakage Tree Data'!AE119&lt;&gt;"",'[1]Leakage Tree Data'!AE119,"")</f>
      </c>
      <c s="73">
        <f t="shared" si="28"/>
      </c>
      <c s="73">
        <f t="shared" si="29"/>
      </c>
      <c s="73">
        <f t="shared" si="30"/>
      </c>
      <c s="73">
        <f t="shared" si="31"/>
      </c>
      <c s="74">
        <f t="shared" si="32"/>
      </c>
      <c s="74">
        <f t="shared" si="33"/>
      </c>
      <c s="69" t="str">
        <f t="shared" si="17"/>
        <v>Total US - CVS.com</v>
      </c>
      <c s="69" t="str">
        <f t="shared" si="18"/>
        <v>Total US - Internet</v>
      </c>
      <c s="77"/>
    </row>
    <row r="221" spans="1:141" s="92" customFormat="1" ht="15">
      <c r="A2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221,$AL$8:$AL$15,1,FALSE))=TRUE,IF(AND(CV221=CW221,CV221&lt;&gt;"",DI$111&lt;&gt;"",DK221&lt;&gt;""),IF(CW$101="Y",DK221-IF(ISERROR(VLOOKUP(CV221,$CA$113:$DK$300,37,FALSE))=TRUE,0,IF(VLOOKUP(CV221,$CA$113:$DK$300,37,FALSE)="",0,VLOOKUP(CV221,$CA$113:$DK$300,37,FALSE))),DK221-IF(AND(CW$102="Y",CV221=$CW$111),DI$111,0)),""),"")</f>
      </c>
      <c s="76">
        <f>IF(ISERROR(VLOOKUP(CV221,$AL$8:$AL$15,1,FALSE))=TRUE,IF(CB221&lt;&gt;"",IF(CB221&gt;0,IF(Z$4&lt;&gt;"",MIN(4,RANK(CB221,$CB$111:$CB$300)),RANK(CB221,$CB$111:$CB$300)),""),""),"")</f>
      </c>
      <c s="75">
        <f>IF(ISERROR(VLOOKUP(CV221,$AL$8:$AL$15,1,FALSE))=TRUE,IF(AND(ISERROR(FIND("NeighMkt",$CX$102))=FALSE,LEFT($CW$111,10)="ALL OUTLET",$CA221&lt;&gt;"",DK221&lt;&gt;""),"",IF(AND($CV221&lt;&gt;$CW221,$CW221=CD$110),$DK221,"")),"")</f>
      </c>
      <c s="76">
        <f>IF(ISERROR(VLOOKUP(CV221,$AL$8:$AL$15,1,FALSE))=TRUE,IF(CD221&lt;&gt;"",IF(CD221&gt;0,RANK(CD221,$CD$111:$CD$300),""),""),"")</f>
      </c>
      <c s="75">
        <f>IF(ISERROR(VLOOKUP(CV221,$AL$8:$AL$15,1,FALSE))=TRUE,IF(AND(ISERROR(FIND("NeighMkt",$CX$102))=FALSE,LEFT($CW$111,10)="ALL OUTLET",$CA221&lt;&gt;"",DK221&lt;&gt;""),"",IF(AND($CV221&lt;&gt;$CW221,$CW221=CF$110),$DK221,"")),"")</f>
      </c>
      <c s="76">
        <f>IF(ISERROR(VLOOKUP(CV221,$AL$8:$AL$15,1,FALSE))=TRUE,IF(CF221&lt;&gt;"",IF(CF221&gt;0,RANK(CF221,$CF$111:$CF$300),""),""),"")</f>
      </c>
      <c s="75">
        <f>IF(ISERROR(VLOOKUP(CV221,$AL$8:$AL$15,1,FALSE))=TRUE,IF(AND(ISERROR(FIND("NeighMkt",$CX$102))=FALSE,LEFT($CW$111,10)="ALL OUTLET",$CA221&lt;&gt;"",DK221&lt;&gt;""),"",IF(AND($CV221&lt;&gt;$CW221,$CW221=CH$110),$DK221,"")),"")</f>
      </c>
      <c s="76">
        <f>IF(ISERROR(VLOOKUP(CV221,$AL$8:$AL$15,1,FALSE))=TRUE,IF(CH221&lt;&gt;"",IF(CH221&gt;0,RANK(CH221,$CH$111:$CH$300),""),""),"")</f>
      </c>
      <c s="75">
        <f>IF(ISERROR(VLOOKUP(CV221,$AL$8:$AL$15,1,FALSE))=TRUE,IF(AND(ISERROR(FIND("NeighMkt",$CX$102))=FALSE,LEFT($CW$111,10)="ALL OUTLET",$CA221&lt;&gt;"",DK221&lt;&gt;""),"",IF($Z$4="",IF(AND($CV221&lt;&gt;$CW221,$CW221=CJ$110),$DK221,""),IF(AND($CV221&lt;&gt;$CW221,$CW221&lt;&gt;CD$110,$CW221&lt;&gt;CF$110,$CW221&lt;&gt;CH$110,$CW221&lt;&gt;$CV$111),$DK221,""))),"")</f>
      </c>
      <c s="76">
        <f>IF(ISERROR(VLOOKUP(CV221,$AL$8:$AL$15,1,FALSE))=TRUE,IF(CJ221&lt;&gt;"",IF(CJ221&gt;0,RANK(CJ221,$CJ$111:$CJ$300),""),""),"")</f>
      </c>
      <c s="75">
        <f>IF(ISERROR(VLOOKUP(CV221,$AL$8:$AL$15,1,FALSE))=TRUE,IF(AND(CV221=CW221,CV221&lt;&gt;"",DJ221&lt;&gt;""),IF(AND(ISERROR(FIND("NeighMkt",$CX$102))=FALSE,LEFT($CW$111,10)="ALL OUTLET"),DJ221-IF(ISERROR(VLOOKUP(CV221,$CA$113:$DK$300,36,FALSE))=TRUE,0,IF(VLOOKUP(CV221,$CA$113:$DK$300,36,FALSE)="",0,VLOOKUP(CV221,$CA$113:$DK$300,36,FALSE))),DJ221),""),"")</f>
      </c>
      <c s="76">
        <f>IF(ISERROR(VLOOKUP(CV221,$AL$8:$AL$15,1,FALSE))=TRUE,IF(CL221&lt;&gt;"",IF(CL221&gt;0,IF($Z$4&lt;&gt;"",MIN(4,RANK(CL221,$CL$111:$CL$300)),RANK(CL221,$CL$111:$CL$300)),""),""),"")</f>
      </c>
      <c s="75">
        <f>IF(ISERROR(VLOOKUP(CV221,$AL$8:$AL$15,1,FALSE))=TRUE,IF(AND(ISERROR(FIND("NeighMkt",$CX$102))=FALSE,LEFT($CW$111,10)="ALL OUTLET",$CA221&lt;&gt;"",DJ221&lt;&gt;""),"",IF(AND($CV221&lt;&gt;$CW221,$CW221=CN$110),$DJ221,"")),"")</f>
      </c>
      <c s="76">
        <f>IF(ISERROR(VLOOKUP(CV221,$AL$8:$AL$15,1,FALSE))=TRUE,IF(CN221&lt;&gt;"",IF(CN221&gt;0,RANK(CN221,$CN$111:$CN$300),""),""),"")</f>
      </c>
      <c s="75">
        <f>IF(ISERROR(VLOOKUP(CV221,$AL$8:$AL$15,1,FALSE))=TRUE,IF(AND(ISERROR(FIND("NeighMkt",$CX$102))=FALSE,LEFT($CW$111,10)="ALL OUTLET",$CA221&lt;&gt;"",DJ221&lt;&gt;""),"",IF(AND($CV221&lt;&gt;$CW221,$CW221=CP$110),$DJ221,"")),"")</f>
      </c>
      <c s="76">
        <f>IF(ISERROR(VLOOKUP(CV221,$AL$8:$AL$15,1,FALSE))=TRUE,IF(CP221&lt;&gt;"",IF(CP221&gt;0,RANK(CP221,$CP$111:$CP$300),""),""),"")</f>
      </c>
      <c s="75">
        <f>IF(ISERROR(VLOOKUP(CV221,$AL$8:$AL$15,1,FALSE))=TRUE,IF(AND(ISERROR(FIND("NeighMkt",$CX$102))=FALSE,LEFT($CW$111,10)="ALL OUTLET",$CA221&lt;&gt;"",DJ221&lt;&gt;""),"",IF(AND($CV221&lt;&gt;$CW221,$CW221=CR$110),$DJ221,"")),"")</f>
      </c>
      <c s="76">
        <f>IF(ISERROR(VLOOKUP(CV221,$AL$8:$AL$15,1,FALSE))=TRUE,IF(CR221&lt;&gt;"",IF(CR221&gt;0,RANK(CR221,$CR$111:$CR$300),""),""),"")</f>
      </c>
      <c s="75">
        <f>IF(ISERROR(VLOOKUP(CV221,$AL$8:$AL$15,1,FALSE))=TRUE,IF(AND(ISERROR(FIND("NeighMkt",$CX$102))=FALSE,LEFT($CW$111,10)="ALL OUTLET",$CA221&lt;&gt;"",DJ221&lt;&gt;""),"",IF($Z$4="",IF(AND($CV221&lt;&gt;$CW221,$CW221=CT$110),$DJ221,""),IF(AND($CV221&lt;&gt;$CW221,$CW221&lt;&gt;CN$110,$CW221&lt;&gt;CP$110,$CW221&lt;&gt;CR$110,$CW221&lt;&gt;$CV$111),$DJ221,""))),"")</f>
      </c>
      <c s="76">
        <f>IF(ISERROR(VLOOKUP(CV221,$AL$8:$AL$15,1,FALSE))=TRUE,IF(CT221&lt;&gt;"",IF(CT221&gt;0,RANK(CT221,$CT$111:$CT$300),""),""),"")</f>
      </c>
      <c s="65" t="str">
        <f t="shared" si="19"/>
        <v>Costco.com</v>
      </c>
      <c s="65" t="str">
        <f t="shared" si="20"/>
        <v>Internet</v>
      </c>
      <c s="72" t="str">
        <f>IF('[1]Leakage Tree Data'!A120&lt;&gt;"",'[1]Leakage Tree Data'!A120,"")</f>
        <v>Total US - Costco.com</v>
      </c>
      <c s="72" t="str">
        <f>IF('[1]Leakage Tree Data'!B120&lt;&gt;"",'[1]Leakage Tree Data'!B120,"")</f>
        <v>Total US - Internet</v>
      </c>
      <c s="72">
        <f>IF('[1]Leakage Tree Data'!C120&lt;&gt;"",'[1]Leakage Tree Data'!C120,"")</f>
        <v>121171760.292236</v>
      </c>
      <c s="72">
        <f>IF('[1]Leakage Tree Data'!D120&lt;&gt;"",'[1]Leakage Tree Data'!D120,"")</f>
        <v>1494902.09039307</v>
      </c>
      <c s="72">
        <f>IF('[1]Leakage Tree Data'!E120&lt;&gt;"",'[1]Leakage Tree Data'!E120,"")</f>
        <v>1.23370502069767</v>
      </c>
      <c s="72">
        <f>IF('[1]Leakage Tree Data'!F120&lt;&gt;"",'[1]Leakage Tree Data'!F120,"")</f>
        <v>119676858.201843</v>
      </c>
      <c s="72">
        <f>IF('[1]Leakage Tree Data'!G120&lt;&gt;"",'[1]Leakage Tree Data'!G120,"")</f>
        <v>98.7662949793023</v>
      </c>
      <c s="72">
        <f>IF('[1]Leakage Tree Data'!H120&lt;&gt;"",'[1]Leakage Tree Data'!H120,"")</f>
        <v>61518209.9918823</v>
      </c>
      <c s="72" t="str">
        <f>IF('[1]Leakage Tree Data'!I120&lt;&gt;"",'[1]Leakage Tree Data'!I120,"")</f>
        <v>Internet</v>
      </c>
      <c s="72">
        <f>IF('[1]Leakage Tree Data'!J120&lt;&gt;"",'[1]Leakage Tree Data'!J120,"")</f>
      </c>
      <c s="72">
        <f>IF('[1]Leakage Tree Data'!K120&lt;&gt;"",'[1]Leakage Tree Data'!K120,"")</f>
      </c>
      <c s="72">
        <f>IF('[1]Leakage Tree Data'!L120&lt;&gt;"",'[1]Leakage Tree Data'!L120,"")</f>
      </c>
      <c s="72">
        <f>IF('[1]Leakage Tree Data'!M120&lt;&gt;"",'[1]Leakage Tree Data'!M120,"")</f>
      </c>
      <c s="72">
        <f>IF('[1]Leakage Tree Data'!N120&lt;&gt;"",'[1]Leakage Tree Data'!N120,"")</f>
      </c>
      <c s="72">
        <f>IF('[1]Leakage Tree Data'!O120&lt;&gt;"",'[1]Leakage Tree Data'!O120,"")</f>
        <v>7.62198067007177</v>
      </c>
      <c s="72">
        <f>IF('[1]Leakage Tree Data'!P120&lt;&gt;"",'[1]Leakage Tree Data'!P120,"")</f>
        <v>291126.203007558</v>
      </c>
      <c s="72">
        <f>IF('[1]Leakage Tree Data'!Q120&lt;&gt;"",'[1]Leakage Tree Data'!Q120,"")</f>
      </c>
      <c s="72">
        <f>IF('[1]Leakage Tree Data'!R120&lt;&gt;"",'[1]Leakage Tree Data'!R120,"")</f>
        <v>1017625.85098267</v>
      </c>
      <c s="72">
        <f>IF('[1]Leakage Tree Data'!S120&lt;&gt;"",'[1]Leakage Tree Data'!S120,"")</f>
        <v>9968.59039306641</v>
      </c>
      <c s="72">
        <f>IF('[1]Leakage Tree Data'!T120&lt;&gt;"",'[1]Leakage Tree Data'!T120,"")</f>
        <v>-0.00215216133381446</v>
      </c>
      <c s="72">
        <f>IF('[1]Leakage Tree Data'!U120&lt;&gt;"",'[1]Leakage Tree Data'!U120,"")</f>
        <v>1007657.2605896</v>
      </c>
      <c s="72">
        <f>IF('[1]Leakage Tree Data'!V120&lt;&gt;"",'[1]Leakage Tree Data'!V120,"")</f>
        <v>0.00215216133381091</v>
      </c>
      <c s="72">
        <f>IF('[1]Leakage Tree Data'!W120&lt;&gt;"",'[1]Leakage Tree Data'!W120,"")</f>
        <v>-1855949.2237854</v>
      </c>
      <c s="72">
        <f>IF('[1]Leakage Tree Data'!X120&lt;&gt;"",'[1]Leakage Tree Data'!X120,"")</f>
      </c>
      <c s="72">
        <f>IF('[1]Leakage Tree Data'!Y120&lt;&gt;"",'[1]Leakage Tree Data'!Y120,"")</f>
      </c>
      <c s="72">
        <f>IF('[1]Leakage Tree Data'!Z120&lt;&gt;"",'[1]Leakage Tree Data'!Z120,"")</f>
      </c>
      <c s="72">
        <f>IF('[1]Leakage Tree Data'!AA120&lt;&gt;"",'[1]Leakage Tree Data'!AA120,"")</f>
      </c>
      <c s="72">
        <f>IF('[1]Leakage Tree Data'!AB120&lt;&gt;"",'[1]Leakage Tree Data'!AB120,"")</f>
      </c>
      <c s="72">
        <f>IF('[1]Leakage Tree Data'!AC120&lt;&gt;"",'[1]Leakage Tree Data'!AC120,"")</f>
      </c>
      <c s="72">
        <f>IF('[1]Leakage Tree Data'!AD120&lt;&gt;"",'[1]Leakage Tree Data'!AD120,"")</f>
        <v>-2.67186637939929</v>
      </c>
      <c s="72">
        <f>IF('[1]Leakage Tree Data'!AE120&lt;&gt;"",'[1]Leakage Tree Data'!AE120,"")</f>
      </c>
      <c s="73">
        <f t="shared" si="28"/>
      </c>
      <c s="73">
        <f t="shared" si="29"/>
      </c>
      <c s="73">
        <f t="shared" si="30"/>
      </c>
      <c s="73">
        <f t="shared" si="31"/>
      </c>
      <c s="74">
        <f t="shared" si="32"/>
      </c>
      <c s="74">
        <f t="shared" si="33"/>
      </c>
      <c s="69" t="str">
        <f t="shared" si="17"/>
        <v>Total US - Costco.com</v>
      </c>
      <c s="69" t="str">
        <f t="shared" si="18"/>
        <v>Total US - Internet</v>
      </c>
      <c s="77"/>
    </row>
    <row r="222" spans="1:141" s="92" customFormat="1" ht="15">
      <c r="A2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222,$AL$8:$AL$15,1,FALSE))=TRUE,IF(AND(CV222=CW222,CV222&lt;&gt;"",DI$111&lt;&gt;"",DK222&lt;&gt;""),IF(CW$101="Y",DK222-IF(ISERROR(VLOOKUP(CV222,$CA$113:$DK$300,37,FALSE))=TRUE,0,IF(VLOOKUP(CV222,$CA$113:$DK$300,37,FALSE)="",0,VLOOKUP(CV222,$CA$113:$DK$300,37,FALSE))),DK222-IF(AND(CW$102="Y",CV222=$CW$111),DI$111,0)),""),"")</f>
      </c>
      <c s="76">
        <f>IF(ISERROR(VLOOKUP(CV222,$AL$8:$AL$15,1,FALSE))=TRUE,IF(CB222&lt;&gt;"",IF(CB222&gt;0,IF(Z$4&lt;&gt;"",MIN(4,RANK(CB222,$CB$111:$CB$300)),RANK(CB222,$CB$111:$CB$300)),""),""),"")</f>
      </c>
      <c s="75">
        <f>IF(ISERROR(VLOOKUP(CV222,$AL$8:$AL$15,1,FALSE))=TRUE,IF(AND(ISERROR(FIND("NeighMkt",$CX$102))=FALSE,LEFT($CW$111,10)="ALL OUTLET",$CA222&lt;&gt;"",DK222&lt;&gt;""),"",IF(AND($CV222&lt;&gt;$CW222,$CW222=CD$110),$DK222,"")),"")</f>
      </c>
      <c s="76">
        <f>IF(ISERROR(VLOOKUP(CV222,$AL$8:$AL$15,1,FALSE))=TRUE,IF(CD222&lt;&gt;"",IF(CD222&gt;0,RANK(CD222,$CD$111:$CD$300),""),""),"")</f>
      </c>
      <c s="75">
        <f>IF(ISERROR(VLOOKUP(CV222,$AL$8:$AL$15,1,FALSE))=TRUE,IF(AND(ISERROR(FIND("NeighMkt",$CX$102))=FALSE,LEFT($CW$111,10)="ALL OUTLET",$CA222&lt;&gt;"",DK222&lt;&gt;""),"",IF(AND($CV222&lt;&gt;$CW222,$CW222=CF$110),$DK222,"")),"")</f>
      </c>
      <c s="76">
        <f>IF(ISERROR(VLOOKUP(CV222,$AL$8:$AL$15,1,FALSE))=TRUE,IF(CF222&lt;&gt;"",IF(CF222&gt;0,RANK(CF222,$CF$111:$CF$300),""),""),"")</f>
      </c>
      <c s="75">
        <f>IF(ISERROR(VLOOKUP(CV222,$AL$8:$AL$15,1,FALSE))=TRUE,IF(AND(ISERROR(FIND("NeighMkt",$CX$102))=FALSE,LEFT($CW$111,10)="ALL OUTLET",$CA222&lt;&gt;"",DK222&lt;&gt;""),"",IF(AND($CV222&lt;&gt;$CW222,$CW222=CH$110),$DK222,"")),"")</f>
      </c>
      <c s="76">
        <f>IF(ISERROR(VLOOKUP(CV222,$AL$8:$AL$15,1,FALSE))=TRUE,IF(CH222&lt;&gt;"",IF(CH222&gt;0,RANK(CH222,$CH$111:$CH$300),""),""),"")</f>
      </c>
      <c s="75">
        <f>IF(ISERROR(VLOOKUP(CV222,$AL$8:$AL$15,1,FALSE))=TRUE,IF(AND(ISERROR(FIND("NeighMkt",$CX$102))=FALSE,LEFT($CW$111,10)="ALL OUTLET",$CA222&lt;&gt;"",DK222&lt;&gt;""),"",IF($Z$4="",IF(AND($CV222&lt;&gt;$CW222,$CW222=CJ$110),$DK222,""),IF(AND($CV222&lt;&gt;$CW222,$CW222&lt;&gt;CD$110,$CW222&lt;&gt;CF$110,$CW222&lt;&gt;CH$110,$CW222&lt;&gt;$CV$111),$DK222,""))),"")</f>
      </c>
      <c s="76">
        <f>IF(ISERROR(VLOOKUP(CV222,$AL$8:$AL$15,1,FALSE))=TRUE,IF(CJ222&lt;&gt;"",IF(CJ222&gt;0,RANK(CJ222,$CJ$111:$CJ$300),""),""),"")</f>
      </c>
      <c s="75">
        <f>IF(ISERROR(VLOOKUP(CV222,$AL$8:$AL$15,1,FALSE))=TRUE,IF(AND(CV222=CW222,CV222&lt;&gt;"",DJ222&lt;&gt;""),IF(AND(ISERROR(FIND("NeighMkt",$CX$102))=FALSE,LEFT($CW$111,10)="ALL OUTLET"),DJ222-IF(ISERROR(VLOOKUP(CV222,$CA$113:$DK$300,36,FALSE))=TRUE,0,IF(VLOOKUP(CV222,$CA$113:$DK$300,36,FALSE)="",0,VLOOKUP(CV222,$CA$113:$DK$300,36,FALSE))),DJ222),""),"")</f>
      </c>
      <c s="76">
        <f>IF(ISERROR(VLOOKUP(CV222,$AL$8:$AL$15,1,FALSE))=TRUE,IF(CL222&lt;&gt;"",IF(CL222&gt;0,IF($Z$4&lt;&gt;"",MIN(4,RANK(CL222,$CL$111:$CL$300)),RANK(CL222,$CL$111:$CL$300)),""),""),"")</f>
      </c>
      <c s="75">
        <f>IF(ISERROR(VLOOKUP(CV222,$AL$8:$AL$15,1,FALSE))=TRUE,IF(AND(ISERROR(FIND("NeighMkt",$CX$102))=FALSE,LEFT($CW$111,10)="ALL OUTLET",$CA222&lt;&gt;"",DJ222&lt;&gt;""),"",IF(AND($CV222&lt;&gt;$CW222,$CW222=CN$110),$DJ222,"")),"")</f>
      </c>
      <c s="76">
        <f>IF(ISERROR(VLOOKUP(CV222,$AL$8:$AL$15,1,FALSE))=TRUE,IF(CN222&lt;&gt;"",IF(CN222&gt;0,RANK(CN222,$CN$111:$CN$300),""),""),"")</f>
      </c>
      <c s="75">
        <f>IF(ISERROR(VLOOKUP(CV222,$AL$8:$AL$15,1,FALSE))=TRUE,IF(AND(ISERROR(FIND("NeighMkt",$CX$102))=FALSE,LEFT($CW$111,10)="ALL OUTLET",$CA222&lt;&gt;"",DJ222&lt;&gt;""),"",IF(AND($CV222&lt;&gt;$CW222,$CW222=CP$110),$DJ222,"")),"")</f>
      </c>
      <c s="76">
        <f>IF(ISERROR(VLOOKUP(CV222,$AL$8:$AL$15,1,FALSE))=TRUE,IF(CP222&lt;&gt;"",IF(CP222&gt;0,RANK(CP222,$CP$111:$CP$300),""),""),"")</f>
      </c>
      <c s="75">
        <f>IF(ISERROR(VLOOKUP(CV222,$AL$8:$AL$15,1,FALSE))=TRUE,IF(AND(ISERROR(FIND("NeighMkt",$CX$102))=FALSE,LEFT($CW$111,10)="ALL OUTLET",$CA222&lt;&gt;"",DJ222&lt;&gt;""),"",IF(AND($CV222&lt;&gt;$CW222,$CW222=CR$110),$DJ222,"")),"")</f>
      </c>
      <c s="76">
        <f>IF(ISERROR(VLOOKUP(CV222,$AL$8:$AL$15,1,FALSE))=TRUE,IF(CR222&lt;&gt;"",IF(CR222&gt;0,RANK(CR222,$CR$111:$CR$300),""),""),"")</f>
      </c>
      <c s="75">
        <f>IF(ISERROR(VLOOKUP(CV222,$AL$8:$AL$15,1,FALSE))=TRUE,IF(AND(ISERROR(FIND("NeighMkt",$CX$102))=FALSE,LEFT($CW$111,10)="ALL OUTLET",$CA222&lt;&gt;"",DJ222&lt;&gt;""),"",IF($Z$4="",IF(AND($CV222&lt;&gt;$CW222,$CW222=CT$110),$DJ222,""),IF(AND($CV222&lt;&gt;$CW222,$CW222&lt;&gt;CN$110,$CW222&lt;&gt;CP$110,$CW222&lt;&gt;CR$110,$CW222&lt;&gt;$CV$111),$DJ222,""))),"")</f>
      </c>
      <c s="76">
        <f>IF(ISERROR(VLOOKUP(CV222,$AL$8:$AL$15,1,FALSE))=TRUE,IF(CT222&lt;&gt;"",IF(CT222&gt;0,RANK(CT222,$CT$111:$CT$300),""),""),"")</f>
      </c>
      <c s="65" t="str">
        <f t="shared" si="19"/>
        <v>Dollargeneral.com</v>
      </c>
      <c s="65" t="str">
        <f t="shared" si="20"/>
        <v>Internet</v>
      </c>
      <c s="72" t="str">
        <f>IF('[1]Leakage Tree Data'!A121&lt;&gt;"",'[1]Leakage Tree Data'!A121,"")</f>
        <v>Total US - Dollargeneral.com</v>
      </c>
      <c s="72" t="str">
        <f>IF('[1]Leakage Tree Data'!B121&lt;&gt;"",'[1]Leakage Tree Data'!B121,"")</f>
        <v>Total US - Internet</v>
      </c>
      <c s="72">
        <f>IF('[1]Leakage Tree Data'!C121&lt;&gt;"",'[1]Leakage Tree Data'!C121,"")</f>
        <v>121171760.292236</v>
      </c>
      <c s="72">
        <f>IF('[1]Leakage Tree Data'!D121&lt;&gt;"",'[1]Leakage Tree Data'!D121,"")</f>
        <v>771739.69744873</v>
      </c>
      <c s="72">
        <f>IF('[1]Leakage Tree Data'!E121&lt;&gt;"",'[1]Leakage Tree Data'!E121,"")</f>
        <v>0.636897322930265</v>
      </c>
      <c s="72">
        <f>IF('[1]Leakage Tree Data'!F121&lt;&gt;"",'[1]Leakage Tree Data'!F121,"")</f>
        <v>120400020.594788</v>
      </c>
      <c s="72">
        <f>IF('[1]Leakage Tree Data'!G121&lt;&gt;"",'[1]Leakage Tree Data'!G121,"")</f>
        <v>99.3631026770697</v>
      </c>
      <c s="72">
        <f>IF('[1]Leakage Tree Data'!H121&lt;&gt;"",'[1]Leakage Tree Data'!H121,"")</f>
        <v>61518209.9918823</v>
      </c>
      <c s="72" t="str">
        <f>IF('[1]Leakage Tree Data'!I121&lt;&gt;"",'[1]Leakage Tree Data'!I121,"")</f>
        <v>Internet</v>
      </c>
      <c s="72">
        <f>IF('[1]Leakage Tree Data'!J121&lt;&gt;"",'[1]Leakage Tree Data'!J121,"")</f>
      </c>
      <c s="72">
        <f>IF('[1]Leakage Tree Data'!K121&lt;&gt;"",'[1]Leakage Tree Data'!K121,"")</f>
      </c>
      <c s="72">
        <f>IF('[1]Leakage Tree Data'!L121&lt;&gt;"",'[1]Leakage Tree Data'!L121,"")</f>
      </c>
      <c s="72">
        <f>IF('[1]Leakage Tree Data'!M121&lt;&gt;"",'[1]Leakage Tree Data'!M121,"")</f>
      </c>
      <c s="72">
        <f>IF('[1]Leakage Tree Data'!N121&lt;&gt;"",'[1]Leakage Tree Data'!N121,"")</f>
      </c>
      <c s="72">
        <f>IF('[1]Leakage Tree Data'!O121&lt;&gt;"",'[1]Leakage Tree Data'!O121,"")</f>
        <v>14.7002094659705</v>
      </c>
      <c s="72">
        <f>IF('[1]Leakage Tree Data'!P121&lt;&gt;"",'[1]Leakage Tree Data'!P121,"")</f>
        <v>50914.6038402188</v>
      </c>
      <c s="72">
        <f>IF('[1]Leakage Tree Data'!Q121&lt;&gt;"",'[1]Leakage Tree Data'!Q121,"")</f>
      </c>
      <c s="72">
        <f>IF('[1]Leakage Tree Data'!R121&lt;&gt;"",'[1]Leakage Tree Data'!R121,"")</f>
        <v>1017625.85098267</v>
      </c>
      <c s="72">
        <f>IF('[1]Leakage Tree Data'!S121&lt;&gt;"",'[1]Leakage Tree Data'!S121,"")</f>
        <v>-48099.1016235352</v>
      </c>
      <c s="72">
        <f>IF('[1]Leakage Tree Data'!T121&lt;&gt;"",'[1]Leakage Tree Data'!T121,"")</f>
        <v>-0.0454252645401693</v>
      </c>
      <c s="72">
        <f>IF('[1]Leakage Tree Data'!U121&lt;&gt;"",'[1]Leakage Tree Data'!U121,"")</f>
        <v>1065724.9526062</v>
      </c>
      <c s="72">
        <f>IF('[1]Leakage Tree Data'!V121&lt;&gt;"",'[1]Leakage Tree Data'!V121,"")</f>
        <v>0.0454252645401709</v>
      </c>
      <c s="72">
        <f>IF('[1]Leakage Tree Data'!W121&lt;&gt;"",'[1]Leakage Tree Data'!W121,"")</f>
        <v>-1855949.2237854</v>
      </c>
      <c s="72">
        <f>IF('[1]Leakage Tree Data'!X121&lt;&gt;"",'[1]Leakage Tree Data'!X121,"")</f>
      </c>
      <c s="72">
        <f>IF('[1]Leakage Tree Data'!Y121&lt;&gt;"",'[1]Leakage Tree Data'!Y121,"")</f>
      </c>
      <c s="72">
        <f>IF('[1]Leakage Tree Data'!Z121&lt;&gt;"",'[1]Leakage Tree Data'!Z121,"")</f>
      </c>
      <c s="72">
        <f>IF('[1]Leakage Tree Data'!AA121&lt;&gt;"",'[1]Leakage Tree Data'!AA121,"")</f>
      </c>
      <c s="72">
        <f>IF('[1]Leakage Tree Data'!AB121&lt;&gt;"",'[1]Leakage Tree Data'!AB121,"")</f>
      </c>
      <c s="72">
        <f>IF('[1]Leakage Tree Data'!AC121&lt;&gt;"",'[1]Leakage Tree Data'!AC121,"")</f>
      </c>
      <c s="72">
        <f>IF('[1]Leakage Tree Data'!AD121&lt;&gt;"",'[1]Leakage Tree Data'!AD121,"")</f>
        <v>-2.90350630098482</v>
      </c>
      <c s="72">
        <f>IF('[1]Leakage Tree Data'!AE121&lt;&gt;"",'[1]Leakage Tree Data'!AE121,"")</f>
      </c>
      <c s="73">
        <f t="shared" si="28"/>
      </c>
      <c s="73">
        <f t="shared" si="29"/>
      </c>
      <c s="73">
        <f t="shared" si="30"/>
      </c>
      <c s="73">
        <f t="shared" si="31"/>
      </c>
      <c s="74">
        <f t="shared" si="32"/>
      </c>
      <c s="74">
        <f t="shared" si="33"/>
      </c>
      <c s="69" t="str">
        <f t="shared" si="17"/>
        <v>Total US - Dollargeneral.com</v>
      </c>
      <c s="69" t="str">
        <f t="shared" si="18"/>
        <v>Total US - Internet</v>
      </c>
      <c s="77"/>
    </row>
    <row r="223" spans="1:141" s="92" customFormat="1" ht="15">
      <c r="A2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223,$AL$8:$AL$15,1,FALSE))=TRUE,IF(AND(CV223=CW223,CV223&lt;&gt;"",DI$111&lt;&gt;"",DK223&lt;&gt;""),IF(CW$101="Y",DK223-IF(ISERROR(VLOOKUP(CV223,$CA$113:$DK$300,37,FALSE))=TRUE,0,IF(VLOOKUP(CV223,$CA$113:$DK$300,37,FALSE)="",0,VLOOKUP(CV223,$CA$113:$DK$300,37,FALSE))),DK223-IF(AND(CW$102="Y",CV223=$CW$111),DI$111,0)),""),"")</f>
      </c>
      <c s="76">
        <f>IF(ISERROR(VLOOKUP(CV223,$AL$8:$AL$15,1,FALSE))=TRUE,IF(CB223&lt;&gt;"",IF(CB223&gt;0,IF(Z$4&lt;&gt;"",MIN(4,RANK(CB223,$CB$111:$CB$300)),RANK(CB223,$CB$111:$CB$300)),""),""),"")</f>
      </c>
      <c s="75">
        <f>IF(ISERROR(VLOOKUP(CV223,$AL$8:$AL$15,1,FALSE))=TRUE,IF(AND(ISERROR(FIND("NeighMkt",$CX$102))=FALSE,LEFT($CW$111,10)="ALL OUTLET",$CA223&lt;&gt;"",DK223&lt;&gt;""),"",IF(AND($CV223&lt;&gt;$CW223,$CW223=CD$110),$DK223,"")),"")</f>
      </c>
      <c s="76">
        <f>IF(ISERROR(VLOOKUP(CV223,$AL$8:$AL$15,1,FALSE))=TRUE,IF(CD223&lt;&gt;"",IF(CD223&gt;0,RANK(CD223,$CD$111:$CD$300),""),""),"")</f>
      </c>
      <c s="75">
        <f>IF(ISERROR(VLOOKUP(CV223,$AL$8:$AL$15,1,FALSE))=TRUE,IF(AND(ISERROR(FIND("NeighMkt",$CX$102))=FALSE,LEFT($CW$111,10)="ALL OUTLET",$CA223&lt;&gt;"",DK223&lt;&gt;""),"",IF(AND($CV223&lt;&gt;$CW223,$CW223=CF$110),$DK223,"")),"")</f>
      </c>
      <c s="76">
        <f>IF(ISERROR(VLOOKUP(CV223,$AL$8:$AL$15,1,FALSE))=TRUE,IF(CF223&lt;&gt;"",IF(CF223&gt;0,RANK(CF223,$CF$111:$CF$300),""),""),"")</f>
      </c>
      <c s="75">
        <f>IF(ISERROR(VLOOKUP(CV223,$AL$8:$AL$15,1,FALSE))=TRUE,IF(AND(ISERROR(FIND("NeighMkt",$CX$102))=FALSE,LEFT($CW$111,10)="ALL OUTLET",$CA223&lt;&gt;"",DK223&lt;&gt;""),"",IF(AND($CV223&lt;&gt;$CW223,$CW223=CH$110),$DK223,"")),"")</f>
      </c>
      <c s="76">
        <f>IF(ISERROR(VLOOKUP(CV223,$AL$8:$AL$15,1,FALSE))=TRUE,IF(CH223&lt;&gt;"",IF(CH223&gt;0,RANK(CH223,$CH$111:$CH$300),""),""),"")</f>
      </c>
      <c s="75">
        <f>IF(ISERROR(VLOOKUP(CV223,$AL$8:$AL$15,1,FALSE))=TRUE,IF(AND(ISERROR(FIND("NeighMkt",$CX$102))=FALSE,LEFT($CW$111,10)="ALL OUTLET",$CA223&lt;&gt;"",DK223&lt;&gt;""),"",IF($Z$4="",IF(AND($CV223&lt;&gt;$CW223,$CW223=CJ$110),$DK223,""),IF(AND($CV223&lt;&gt;$CW223,$CW223&lt;&gt;CD$110,$CW223&lt;&gt;CF$110,$CW223&lt;&gt;CH$110,$CW223&lt;&gt;$CV$111),$DK223,""))),"")</f>
      </c>
      <c s="76">
        <f>IF(ISERROR(VLOOKUP(CV223,$AL$8:$AL$15,1,FALSE))=TRUE,IF(CJ223&lt;&gt;"",IF(CJ223&gt;0,RANK(CJ223,$CJ$111:$CJ$300),""),""),"")</f>
      </c>
      <c s="75">
        <f>IF(ISERROR(VLOOKUP(CV223,$AL$8:$AL$15,1,FALSE))=TRUE,IF(AND(CV223=CW223,CV223&lt;&gt;"",DJ223&lt;&gt;""),IF(AND(ISERROR(FIND("NeighMkt",$CX$102))=FALSE,LEFT($CW$111,10)="ALL OUTLET"),DJ223-IF(ISERROR(VLOOKUP(CV223,$CA$113:$DK$300,36,FALSE))=TRUE,0,IF(VLOOKUP(CV223,$CA$113:$DK$300,36,FALSE)="",0,VLOOKUP(CV223,$CA$113:$DK$300,36,FALSE))),DJ223),""),"")</f>
      </c>
      <c s="76">
        <f>IF(ISERROR(VLOOKUP(CV223,$AL$8:$AL$15,1,FALSE))=TRUE,IF(CL223&lt;&gt;"",IF(CL223&gt;0,IF($Z$4&lt;&gt;"",MIN(4,RANK(CL223,$CL$111:$CL$300)),RANK(CL223,$CL$111:$CL$300)),""),""),"")</f>
      </c>
      <c s="75">
        <f>IF(ISERROR(VLOOKUP(CV223,$AL$8:$AL$15,1,FALSE))=TRUE,IF(AND(ISERROR(FIND("NeighMkt",$CX$102))=FALSE,LEFT($CW$111,10)="ALL OUTLET",$CA223&lt;&gt;"",DJ223&lt;&gt;""),"",IF(AND($CV223&lt;&gt;$CW223,$CW223=CN$110),$DJ223,"")),"")</f>
      </c>
      <c s="76">
        <f>IF(ISERROR(VLOOKUP(CV223,$AL$8:$AL$15,1,FALSE))=TRUE,IF(CN223&lt;&gt;"",IF(CN223&gt;0,RANK(CN223,$CN$111:$CN$300),""),""),"")</f>
      </c>
      <c s="75">
        <f>IF(ISERROR(VLOOKUP(CV223,$AL$8:$AL$15,1,FALSE))=TRUE,IF(AND(ISERROR(FIND("NeighMkt",$CX$102))=FALSE,LEFT($CW$111,10)="ALL OUTLET",$CA223&lt;&gt;"",DJ223&lt;&gt;""),"",IF(AND($CV223&lt;&gt;$CW223,$CW223=CP$110),$DJ223,"")),"")</f>
      </c>
      <c s="76">
        <f>IF(ISERROR(VLOOKUP(CV223,$AL$8:$AL$15,1,FALSE))=TRUE,IF(CP223&lt;&gt;"",IF(CP223&gt;0,RANK(CP223,$CP$111:$CP$300),""),""),"")</f>
      </c>
      <c s="75">
        <f>IF(ISERROR(VLOOKUP(CV223,$AL$8:$AL$15,1,FALSE))=TRUE,IF(AND(ISERROR(FIND("NeighMkt",$CX$102))=FALSE,LEFT($CW$111,10)="ALL OUTLET",$CA223&lt;&gt;"",DJ223&lt;&gt;""),"",IF(AND($CV223&lt;&gt;$CW223,$CW223=CR$110),$DJ223,"")),"")</f>
      </c>
      <c s="76">
        <f>IF(ISERROR(VLOOKUP(CV223,$AL$8:$AL$15,1,FALSE))=TRUE,IF(CR223&lt;&gt;"",IF(CR223&gt;0,RANK(CR223,$CR$111:$CR$300),""),""),"")</f>
      </c>
      <c s="75">
        <f>IF(ISERROR(VLOOKUP(CV223,$AL$8:$AL$15,1,FALSE))=TRUE,IF(AND(ISERROR(FIND("NeighMkt",$CX$102))=FALSE,LEFT($CW$111,10)="ALL OUTLET",$CA223&lt;&gt;"",DJ223&lt;&gt;""),"",IF($Z$4="",IF(AND($CV223&lt;&gt;$CW223,$CW223=CT$110),$DJ223,""),IF(AND($CV223&lt;&gt;$CW223,$CW223&lt;&gt;CN$110,$CW223&lt;&gt;CP$110,$CW223&lt;&gt;CR$110,$CW223&lt;&gt;$CV$111),$DJ223,""))),"")</f>
      </c>
      <c s="76">
        <f>IF(ISERROR(VLOOKUP(CV223,$AL$8:$AL$15,1,FALSE))=TRUE,IF(CT223&lt;&gt;"",IF(CT223&gt;0,RANK(CT223,$CT$111:$CT$300),""),""),"")</f>
      </c>
      <c s="65" t="str">
        <f t="shared" si="19"/>
        <v>Drugstore.com</v>
      </c>
      <c s="65" t="str">
        <f t="shared" si="20"/>
        <v>Internet</v>
      </c>
      <c s="72" t="str">
        <f>IF('[1]Leakage Tree Data'!A122&lt;&gt;"",'[1]Leakage Tree Data'!A122,"")</f>
        <v>Total US - Drugstore.com</v>
      </c>
      <c s="72" t="str">
        <f>IF('[1]Leakage Tree Data'!B122&lt;&gt;"",'[1]Leakage Tree Data'!B122,"")</f>
        <v>Total US - Internet</v>
      </c>
      <c s="72">
        <f>IF('[1]Leakage Tree Data'!C122&lt;&gt;"",'[1]Leakage Tree Data'!C122,"")</f>
        <v>121171760.292236</v>
      </c>
      <c s="72">
        <f>IF('[1]Leakage Tree Data'!D122&lt;&gt;"",'[1]Leakage Tree Data'!D122,"")</f>
        <v>1568582.89996338</v>
      </c>
      <c s="72">
        <f>IF('[1]Leakage Tree Data'!E122&lt;&gt;"",'[1]Leakage Tree Data'!E122,"")</f>
        <v>1.29451193593321</v>
      </c>
      <c s="72">
        <f>IF('[1]Leakage Tree Data'!F122&lt;&gt;"",'[1]Leakage Tree Data'!F122,"")</f>
        <v>119603177.392273</v>
      </c>
      <c s="72">
        <f>IF('[1]Leakage Tree Data'!G122&lt;&gt;"",'[1]Leakage Tree Data'!G122,"")</f>
        <v>98.7054880640668</v>
      </c>
      <c s="72">
        <f>IF('[1]Leakage Tree Data'!H122&lt;&gt;"",'[1]Leakage Tree Data'!H122,"")</f>
        <v>61518209.9918823</v>
      </c>
      <c s="72" t="str">
        <f>IF('[1]Leakage Tree Data'!I122&lt;&gt;"",'[1]Leakage Tree Data'!I122,"")</f>
        <v>Internet</v>
      </c>
      <c s="72">
        <f>IF('[1]Leakage Tree Data'!J122&lt;&gt;"",'[1]Leakage Tree Data'!J122,"")</f>
      </c>
      <c s="72">
        <f>IF('[1]Leakage Tree Data'!K122&lt;&gt;"",'[1]Leakage Tree Data'!K122,"")</f>
      </c>
      <c s="72">
        <f>IF('[1]Leakage Tree Data'!L122&lt;&gt;"",'[1]Leakage Tree Data'!L122,"")</f>
      </c>
      <c s="72">
        <f>IF('[1]Leakage Tree Data'!M122&lt;&gt;"",'[1]Leakage Tree Data'!M122,"")</f>
      </c>
      <c s="72">
        <f>IF('[1]Leakage Tree Data'!N122&lt;&gt;"",'[1]Leakage Tree Data'!N122,"")</f>
      </c>
      <c s="72">
        <f>IF('[1]Leakage Tree Data'!O122&lt;&gt;"",'[1]Leakage Tree Data'!O122,"")</f>
      </c>
      <c s="72">
        <f>IF('[1]Leakage Tree Data'!P122&lt;&gt;"",'[1]Leakage Tree Data'!P122,"")</f>
      </c>
      <c s="72">
        <f>IF('[1]Leakage Tree Data'!Q122&lt;&gt;"",'[1]Leakage Tree Data'!Q122,"")</f>
      </c>
      <c s="72">
        <f>IF('[1]Leakage Tree Data'!R122&lt;&gt;"",'[1]Leakage Tree Data'!R122,"")</f>
        <v>1017625.85098267</v>
      </c>
      <c s="72">
        <f>IF('[1]Leakage Tree Data'!S122&lt;&gt;"",'[1]Leakage Tree Data'!S122,"")</f>
        <v>-271983.340118408</v>
      </c>
      <c s="72">
        <f>IF('[1]Leakage Tree Data'!T122&lt;&gt;"",'[1]Leakage Tree Data'!T122,"")</f>
        <v>-0.237325689664005</v>
      </c>
      <c s="72">
        <f>IF('[1]Leakage Tree Data'!U122&lt;&gt;"",'[1]Leakage Tree Data'!U122,"")</f>
        <v>1289609.19110107</v>
      </c>
      <c s="72">
        <f>IF('[1]Leakage Tree Data'!V122&lt;&gt;"",'[1]Leakage Tree Data'!V122,"")</f>
        <v>0.237325689664004</v>
      </c>
      <c s="72">
        <f>IF('[1]Leakage Tree Data'!W122&lt;&gt;"",'[1]Leakage Tree Data'!W122,"")</f>
        <v>-1855949.2237854</v>
      </c>
      <c s="72">
        <f>IF('[1]Leakage Tree Data'!X122&lt;&gt;"",'[1]Leakage Tree Data'!X122,"")</f>
      </c>
      <c s="72">
        <f>IF('[1]Leakage Tree Data'!Y122&lt;&gt;"",'[1]Leakage Tree Data'!Y122,"")</f>
      </c>
      <c s="72">
        <f>IF('[1]Leakage Tree Data'!Z122&lt;&gt;"",'[1]Leakage Tree Data'!Z122,"")</f>
      </c>
      <c s="72">
        <f>IF('[1]Leakage Tree Data'!AA122&lt;&gt;"",'[1]Leakage Tree Data'!AA122,"")</f>
      </c>
      <c s="72">
        <f>IF('[1]Leakage Tree Data'!AB122&lt;&gt;"",'[1]Leakage Tree Data'!AB122,"")</f>
      </c>
      <c s="72">
        <f>IF('[1]Leakage Tree Data'!AC122&lt;&gt;"",'[1]Leakage Tree Data'!AC122,"")</f>
      </c>
      <c s="72">
        <f>IF('[1]Leakage Tree Data'!AD122&lt;&gt;"",'[1]Leakage Tree Data'!AD122,"")</f>
      </c>
      <c s="72">
        <f>IF('[1]Leakage Tree Data'!AE122&lt;&gt;"",'[1]Leakage Tree Data'!AE122,"")</f>
      </c>
      <c s="73">
        <f t="shared" si="28"/>
      </c>
      <c s="73">
        <f t="shared" si="29"/>
      </c>
      <c s="73">
        <f t="shared" si="30"/>
      </c>
      <c s="73">
        <f t="shared" si="31"/>
      </c>
      <c s="74">
        <f t="shared" si="32"/>
      </c>
      <c s="74">
        <f t="shared" si="33"/>
      </c>
      <c s="69" t="str">
        <f t="shared" si="17"/>
        <v>Total US - Drugstore.com</v>
      </c>
      <c s="69" t="str">
        <f t="shared" si="18"/>
        <v>Total US - Internet</v>
      </c>
      <c s="77"/>
    </row>
    <row r="224" spans="1:141" s="92" customFormat="1" ht="15">
      <c r="A2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224,$AL$8:$AL$15,1,FALSE))=TRUE,IF(AND(CV224=CW224,CV224&lt;&gt;"",DI$111&lt;&gt;"",DK224&lt;&gt;""),IF(CW$101="Y",DK224-IF(ISERROR(VLOOKUP(CV224,$CA$113:$DK$300,37,FALSE))=TRUE,0,IF(VLOOKUP(CV224,$CA$113:$DK$300,37,FALSE)="",0,VLOOKUP(CV224,$CA$113:$DK$300,37,FALSE))),DK224-IF(AND(CW$102="Y",CV224=$CW$111),DI$111,0)),""),"")</f>
      </c>
      <c s="76">
        <f>IF(ISERROR(VLOOKUP(CV224,$AL$8:$AL$15,1,FALSE))=TRUE,IF(CB224&lt;&gt;"",IF(CB224&gt;0,IF(Z$4&lt;&gt;"",MIN(4,RANK(CB224,$CB$111:$CB$300)),RANK(CB224,$CB$111:$CB$300)),""),""),"")</f>
      </c>
      <c s="75">
        <f>IF(ISERROR(VLOOKUP(CV224,$AL$8:$AL$15,1,FALSE))=TRUE,IF(AND(ISERROR(FIND("NeighMkt",$CX$102))=FALSE,LEFT($CW$111,10)="ALL OUTLET",$CA224&lt;&gt;"",DK224&lt;&gt;""),"",IF(AND($CV224&lt;&gt;$CW224,$CW224=CD$110),$DK224,"")),"")</f>
      </c>
      <c s="76">
        <f>IF(ISERROR(VLOOKUP(CV224,$AL$8:$AL$15,1,FALSE))=TRUE,IF(CD224&lt;&gt;"",IF(CD224&gt;0,RANK(CD224,$CD$111:$CD$300),""),""),"")</f>
      </c>
      <c s="75">
        <f>IF(ISERROR(VLOOKUP(CV224,$AL$8:$AL$15,1,FALSE))=TRUE,IF(AND(ISERROR(FIND("NeighMkt",$CX$102))=FALSE,LEFT($CW$111,10)="ALL OUTLET",$CA224&lt;&gt;"",DK224&lt;&gt;""),"",IF(AND($CV224&lt;&gt;$CW224,$CW224=CF$110),$DK224,"")),"")</f>
      </c>
      <c s="76">
        <f>IF(ISERROR(VLOOKUP(CV224,$AL$8:$AL$15,1,FALSE))=TRUE,IF(CF224&lt;&gt;"",IF(CF224&gt;0,RANK(CF224,$CF$111:$CF$300),""),""),"")</f>
      </c>
      <c s="75">
        <f>IF(ISERROR(VLOOKUP(CV224,$AL$8:$AL$15,1,FALSE))=TRUE,IF(AND(ISERROR(FIND("NeighMkt",$CX$102))=FALSE,LEFT($CW$111,10)="ALL OUTLET",$CA224&lt;&gt;"",DK224&lt;&gt;""),"",IF(AND($CV224&lt;&gt;$CW224,$CW224=CH$110),$DK224,"")),"")</f>
      </c>
      <c s="76">
        <f>IF(ISERROR(VLOOKUP(CV224,$AL$8:$AL$15,1,FALSE))=TRUE,IF(CH224&lt;&gt;"",IF(CH224&gt;0,RANK(CH224,$CH$111:$CH$300),""),""),"")</f>
      </c>
      <c s="75">
        <f>IF(ISERROR(VLOOKUP(CV224,$AL$8:$AL$15,1,FALSE))=TRUE,IF(AND(ISERROR(FIND("NeighMkt",$CX$102))=FALSE,LEFT($CW$111,10)="ALL OUTLET",$CA224&lt;&gt;"",DK224&lt;&gt;""),"",IF($Z$4="",IF(AND($CV224&lt;&gt;$CW224,$CW224=CJ$110),$DK224,""),IF(AND($CV224&lt;&gt;$CW224,$CW224&lt;&gt;CD$110,$CW224&lt;&gt;CF$110,$CW224&lt;&gt;CH$110,$CW224&lt;&gt;$CV$111),$DK224,""))),"")</f>
      </c>
      <c s="76">
        <f>IF(ISERROR(VLOOKUP(CV224,$AL$8:$AL$15,1,FALSE))=TRUE,IF(CJ224&lt;&gt;"",IF(CJ224&gt;0,RANK(CJ224,$CJ$111:$CJ$300),""),""),"")</f>
      </c>
      <c s="75">
        <f>IF(ISERROR(VLOOKUP(CV224,$AL$8:$AL$15,1,FALSE))=TRUE,IF(AND(CV224=CW224,CV224&lt;&gt;"",DJ224&lt;&gt;""),IF(AND(ISERROR(FIND("NeighMkt",$CX$102))=FALSE,LEFT($CW$111,10)="ALL OUTLET"),DJ224-IF(ISERROR(VLOOKUP(CV224,$CA$113:$DK$300,36,FALSE))=TRUE,0,IF(VLOOKUP(CV224,$CA$113:$DK$300,36,FALSE)="",0,VLOOKUP(CV224,$CA$113:$DK$300,36,FALSE))),DJ224),""),"")</f>
      </c>
      <c s="76">
        <f>IF(ISERROR(VLOOKUP(CV224,$AL$8:$AL$15,1,FALSE))=TRUE,IF(CL224&lt;&gt;"",IF(CL224&gt;0,IF($Z$4&lt;&gt;"",MIN(4,RANK(CL224,$CL$111:$CL$300)),RANK(CL224,$CL$111:$CL$300)),""),""),"")</f>
      </c>
      <c s="75">
        <f>IF(ISERROR(VLOOKUP(CV224,$AL$8:$AL$15,1,FALSE))=TRUE,IF(AND(ISERROR(FIND("NeighMkt",$CX$102))=FALSE,LEFT($CW$111,10)="ALL OUTLET",$CA224&lt;&gt;"",DJ224&lt;&gt;""),"",IF(AND($CV224&lt;&gt;$CW224,$CW224=CN$110),$DJ224,"")),"")</f>
      </c>
      <c s="76">
        <f>IF(ISERROR(VLOOKUP(CV224,$AL$8:$AL$15,1,FALSE))=TRUE,IF(CN224&lt;&gt;"",IF(CN224&gt;0,RANK(CN224,$CN$111:$CN$300),""),""),"")</f>
      </c>
      <c s="75">
        <f>IF(ISERROR(VLOOKUP(CV224,$AL$8:$AL$15,1,FALSE))=TRUE,IF(AND(ISERROR(FIND("NeighMkt",$CX$102))=FALSE,LEFT($CW$111,10)="ALL OUTLET",$CA224&lt;&gt;"",DJ224&lt;&gt;""),"",IF(AND($CV224&lt;&gt;$CW224,$CW224=CP$110),$DJ224,"")),"")</f>
      </c>
      <c s="76">
        <f>IF(ISERROR(VLOOKUP(CV224,$AL$8:$AL$15,1,FALSE))=TRUE,IF(CP224&lt;&gt;"",IF(CP224&gt;0,RANK(CP224,$CP$111:$CP$300),""),""),"")</f>
      </c>
      <c s="75">
        <f>IF(ISERROR(VLOOKUP(CV224,$AL$8:$AL$15,1,FALSE))=TRUE,IF(AND(ISERROR(FIND("NeighMkt",$CX$102))=FALSE,LEFT($CW$111,10)="ALL OUTLET",$CA224&lt;&gt;"",DJ224&lt;&gt;""),"",IF(AND($CV224&lt;&gt;$CW224,$CW224=CR$110),$DJ224,"")),"")</f>
      </c>
      <c s="76">
        <f>IF(ISERROR(VLOOKUP(CV224,$AL$8:$AL$15,1,FALSE))=TRUE,IF(CR224&lt;&gt;"",IF(CR224&gt;0,RANK(CR224,$CR$111:$CR$300),""),""),"")</f>
      </c>
      <c s="75">
        <f>IF(ISERROR(VLOOKUP(CV224,$AL$8:$AL$15,1,FALSE))=TRUE,IF(AND(ISERROR(FIND("NeighMkt",$CX$102))=FALSE,LEFT($CW$111,10)="ALL OUTLET",$CA224&lt;&gt;"",DJ224&lt;&gt;""),"",IF($Z$4="",IF(AND($CV224&lt;&gt;$CW224,$CW224=CT$110),$DJ224,""),IF(AND($CV224&lt;&gt;$CW224,$CW224&lt;&gt;CN$110,$CW224&lt;&gt;CP$110,$CW224&lt;&gt;CR$110,$CW224&lt;&gt;$CV$111),$DJ224,""))),"")</f>
      </c>
      <c s="76">
        <f>IF(ISERROR(VLOOKUP(CV224,$AL$8:$AL$15,1,FALSE))=TRUE,IF(CT224&lt;&gt;"",IF(CT224&gt;0,RANK(CT224,$CT$111:$CT$300),""),""),"")</f>
      </c>
      <c s="65" t="str">
        <f t="shared" si="19"/>
        <v>Ebay.com</v>
      </c>
      <c s="65" t="str">
        <f t="shared" si="20"/>
        <v>Internet</v>
      </c>
      <c s="72" t="str">
        <f>IF('[1]Leakage Tree Data'!A123&lt;&gt;"",'[1]Leakage Tree Data'!A123,"")</f>
        <v>Total US - Ebay.com</v>
      </c>
      <c s="72" t="str">
        <f>IF('[1]Leakage Tree Data'!B123&lt;&gt;"",'[1]Leakage Tree Data'!B123,"")</f>
        <v>Total US - Internet</v>
      </c>
      <c s="72">
        <f>IF('[1]Leakage Tree Data'!C123&lt;&gt;"",'[1]Leakage Tree Data'!C123,"")</f>
        <v>121171760.292236</v>
      </c>
      <c s="72">
        <f>IF('[1]Leakage Tree Data'!D123&lt;&gt;"",'[1]Leakage Tree Data'!D123,"")</f>
        <v>4081950.98278809</v>
      </c>
      <c s="72">
        <f>IF('[1]Leakage Tree Data'!E123&lt;&gt;"",'[1]Leakage Tree Data'!E123,"")</f>
        <v>3.36873127281755</v>
      </c>
      <c s="72">
        <f>IF('[1]Leakage Tree Data'!F123&lt;&gt;"",'[1]Leakage Tree Data'!F123,"")</f>
        <v>117089809.309448</v>
      </c>
      <c s="72">
        <f>IF('[1]Leakage Tree Data'!G123&lt;&gt;"",'[1]Leakage Tree Data'!G123,"")</f>
        <v>96.6312687271824</v>
      </c>
      <c s="72">
        <f>IF('[1]Leakage Tree Data'!H123&lt;&gt;"",'[1]Leakage Tree Data'!H123,"")</f>
        <v>61518209.9918823</v>
      </c>
      <c s="72" t="str">
        <f>IF('[1]Leakage Tree Data'!I123&lt;&gt;"",'[1]Leakage Tree Data'!I123,"")</f>
        <v>Internet</v>
      </c>
      <c s="72">
        <f>IF('[1]Leakage Tree Data'!J123&lt;&gt;"",'[1]Leakage Tree Data'!J123,"")</f>
      </c>
      <c s="72">
        <f>IF('[1]Leakage Tree Data'!K123&lt;&gt;"",'[1]Leakage Tree Data'!K123,"")</f>
      </c>
      <c s="72">
        <f>IF('[1]Leakage Tree Data'!L123&lt;&gt;"",'[1]Leakage Tree Data'!L123,"")</f>
      </c>
      <c s="72">
        <f>IF('[1]Leakage Tree Data'!M123&lt;&gt;"",'[1]Leakage Tree Data'!M123,"")</f>
      </c>
      <c s="72">
        <f>IF('[1]Leakage Tree Data'!N123&lt;&gt;"",'[1]Leakage Tree Data'!N123,"")</f>
      </c>
      <c s="72">
        <f>IF('[1]Leakage Tree Data'!O123&lt;&gt;"",'[1]Leakage Tree Data'!O123,"")</f>
      </c>
      <c s="72">
        <f>IF('[1]Leakage Tree Data'!P123&lt;&gt;"",'[1]Leakage Tree Data'!P123,"")</f>
      </c>
      <c s="72">
        <f>IF('[1]Leakage Tree Data'!Q123&lt;&gt;"",'[1]Leakage Tree Data'!Q123,"")</f>
      </c>
      <c s="72">
        <f>IF('[1]Leakage Tree Data'!R123&lt;&gt;"",'[1]Leakage Tree Data'!R123,"")</f>
        <v>1017625.85098267</v>
      </c>
      <c s="72">
        <f>IF('[1]Leakage Tree Data'!S123&lt;&gt;"",'[1]Leakage Tree Data'!S123,"")</f>
        <v>-301804.302093506</v>
      </c>
      <c s="72">
        <f>IF('[1]Leakage Tree Data'!T123&lt;&gt;"",'[1]Leakage Tree Data'!T123,"")</f>
        <v>-0.279711875033444</v>
      </c>
      <c s="72">
        <f>IF('[1]Leakage Tree Data'!U123&lt;&gt;"",'[1]Leakage Tree Data'!U123,"")</f>
        <v>1319430.15307617</v>
      </c>
      <c s="72">
        <f>IF('[1]Leakage Tree Data'!V123&lt;&gt;"",'[1]Leakage Tree Data'!V123,"")</f>
        <v>0.279711875033442</v>
      </c>
      <c s="72">
        <f>IF('[1]Leakage Tree Data'!W123&lt;&gt;"",'[1]Leakage Tree Data'!W123,"")</f>
        <v>-1855949.2237854</v>
      </c>
      <c s="72">
        <f>IF('[1]Leakage Tree Data'!X123&lt;&gt;"",'[1]Leakage Tree Data'!X123,"")</f>
      </c>
      <c s="72">
        <f>IF('[1]Leakage Tree Data'!Y123&lt;&gt;"",'[1]Leakage Tree Data'!Y123,"")</f>
      </c>
      <c s="72">
        <f>IF('[1]Leakage Tree Data'!Z123&lt;&gt;"",'[1]Leakage Tree Data'!Z123,"")</f>
      </c>
      <c s="72">
        <f>IF('[1]Leakage Tree Data'!AA123&lt;&gt;"",'[1]Leakage Tree Data'!AA123,"")</f>
      </c>
      <c s="72">
        <f>IF('[1]Leakage Tree Data'!AB123&lt;&gt;"",'[1]Leakage Tree Data'!AB123,"")</f>
      </c>
      <c s="72">
        <f>IF('[1]Leakage Tree Data'!AC123&lt;&gt;"",'[1]Leakage Tree Data'!AC123,"")</f>
      </c>
      <c s="72">
        <f>IF('[1]Leakage Tree Data'!AD123&lt;&gt;"",'[1]Leakage Tree Data'!AD123,"")</f>
      </c>
      <c s="72">
        <f>IF('[1]Leakage Tree Data'!AE123&lt;&gt;"",'[1]Leakage Tree Data'!AE123,"")</f>
      </c>
      <c s="73">
        <f t="shared" si="28"/>
      </c>
      <c s="73">
        <f t="shared" si="29"/>
      </c>
      <c s="73">
        <f t="shared" si="30"/>
      </c>
      <c s="73">
        <f t="shared" si="31"/>
      </c>
      <c s="74">
        <f t="shared" si="32"/>
      </c>
      <c s="74">
        <f t="shared" si="33"/>
      </c>
      <c s="69" t="str">
        <f t="shared" si="17"/>
        <v>Total US - Ebay.com</v>
      </c>
      <c s="69" t="str">
        <f t="shared" si="18"/>
        <v>Total US - Internet</v>
      </c>
      <c s="77"/>
    </row>
    <row r="225" spans="1:141" s="92" customFormat="1" ht="15">
      <c r="A2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225,$AL$8:$AL$15,1,FALSE))=TRUE,IF(AND(CV225=CW225,CV225&lt;&gt;"",DI$111&lt;&gt;"",DK225&lt;&gt;""),IF(CW$101="Y",DK225-IF(ISERROR(VLOOKUP(CV225,$CA$113:$DK$300,37,FALSE))=TRUE,0,IF(VLOOKUP(CV225,$CA$113:$DK$300,37,FALSE)="",0,VLOOKUP(CV225,$CA$113:$DK$300,37,FALSE))),DK225-IF(AND(CW$102="Y",CV225=$CW$111),DI$111,0)),""),"")</f>
      </c>
      <c s="76">
        <f>IF(ISERROR(VLOOKUP(CV225,$AL$8:$AL$15,1,FALSE))=TRUE,IF(CB225&lt;&gt;"",IF(CB225&gt;0,IF(Z$4&lt;&gt;"",MIN(4,RANK(CB225,$CB$111:$CB$300)),RANK(CB225,$CB$111:$CB$300)),""),""),"")</f>
      </c>
      <c s="75">
        <f>IF(ISERROR(VLOOKUP(CV225,$AL$8:$AL$15,1,FALSE))=TRUE,IF(AND(ISERROR(FIND("NeighMkt",$CX$102))=FALSE,LEFT($CW$111,10)="ALL OUTLET",$CA225&lt;&gt;"",DK225&lt;&gt;""),"",IF(AND($CV225&lt;&gt;$CW225,$CW225=CD$110),$DK225,"")),"")</f>
      </c>
      <c s="76">
        <f>IF(ISERROR(VLOOKUP(CV225,$AL$8:$AL$15,1,FALSE))=TRUE,IF(CD225&lt;&gt;"",IF(CD225&gt;0,RANK(CD225,$CD$111:$CD$300),""),""),"")</f>
      </c>
      <c s="75">
        <f>IF(ISERROR(VLOOKUP(CV225,$AL$8:$AL$15,1,FALSE))=TRUE,IF(AND(ISERROR(FIND("NeighMkt",$CX$102))=FALSE,LEFT($CW$111,10)="ALL OUTLET",$CA225&lt;&gt;"",DK225&lt;&gt;""),"",IF(AND($CV225&lt;&gt;$CW225,$CW225=CF$110),$DK225,"")),"")</f>
      </c>
      <c s="76">
        <f>IF(ISERROR(VLOOKUP(CV225,$AL$8:$AL$15,1,FALSE))=TRUE,IF(CF225&lt;&gt;"",IF(CF225&gt;0,RANK(CF225,$CF$111:$CF$300),""),""),"")</f>
      </c>
      <c s="75">
        <f>IF(ISERROR(VLOOKUP(CV225,$AL$8:$AL$15,1,FALSE))=TRUE,IF(AND(ISERROR(FIND("NeighMkt",$CX$102))=FALSE,LEFT($CW$111,10)="ALL OUTLET",$CA225&lt;&gt;"",DK225&lt;&gt;""),"",IF(AND($CV225&lt;&gt;$CW225,$CW225=CH$110),$DK225,"")),"")</f>
      </c>
      <c s="76">
        <f>IF(ISERROR(VLOOKUP(CV225,$AL$8:$AL$15,1,FALSE))=TRUE,IF(CH225&lt;&gt;"",IF(CH225&gt;0,RANK(CH225,$CH$111:$CH$300),""),""),"")</f>
      </c>
      <c s="75">
        <f>IF(ISERROR(VLOOKUP(CV225,$AL$8:$AL$15,1,FALSE))=TRUE,IF(AND(ISERROR(FIND("NeighMkt",$CX$102))=FALSE,LEFT($CW$111,10)="ALL OUTLET",$CA225&lt;&gt;"",DK225&lt;&gt;""),"",IF($Z$4="",IF(AND($CV225&lt;&gt;$CW225,$CW225=CJ$110),$DK225,""),IF(AND($CV225&lt;&gt;$CW225,$CW225&lt;&gt;CD$110,$CW225&lt;&gt;CF$110,$CW225&lt;&gt;CH$110,$CW225&lt;&gt;$CV$111),$DK225,""))),"")</f>
      </c>
      <c s="76">
        <f>IF(ISERROR(VLOOKUP(CV225,$AL$8:$AL$15,1,FALSE))=TRUE,IF(CJ225&lt;&gt;"",IF(CJ225&gt;0,RANK(CJ225,$CJ$111:$CJ$300),""),""),"")</f>
      </c>
      <c s="75">
        <f>IF(ISERROR(VLOOKUP(CV225,$AL$8:$AL$15,1,FALSE))=TRUE,IF(AND(CV225=CW225,CV225&lt;&gt;"",DJ225&lt;&gt;""),IF(AND(ISERROR(FIND("NeighMkt",$CX$102))=FALSE,LEFT($CW$111,10)="ALL OUTLET"),DJ225-IF(ISERROR(VLOOKUP(CV225,$CA$113:$DK$300,36,FALSE))=TRUE,0,IF(VLOOKUP(CV225,$CA$113:$DK$300,36,FALSE)="",0,VLOOKUP(CV225,$CA$113:$DK$300,36,FALSE))),DJ225),""),"")</f>
      </c>
      <c s="76">
        <f>IF(ISERROR(VLOOKUP(CV225,$AL$8:$AL$15,1,FALSE))=TRUE,IF(CL225&lt;&gt;"",IF(CL225&gt;0,IF($Z$4&lt;&gt;"",MIN(4,RANK(CL225,$CL$111:$CL$300)),RANK(CL225,$CL$111:$CL$300)),""),""),"")</f>
      </c>
      <c s="75">
        <f>IF(ISERROR(VLOOKUP(CV225,$AL$8:$AL$15,1,FALSE))=TRUE,IF(AND(ISERROR(FIND("NeighMkt",$CX$102))=FALSE,LEFT($CW$111,10)="ALL OUTLET",$CA225&lt;&gt;"",DJ225&lt;&gt;""),"",IF(AND($CV225&lt;&gt;$CW225,$CW225=CN$110),$DJ225,"")),"")</f>
      </c>
      <c s="76">
        <f>IF(ISERROR(VLOOKUP(CV225,$AL$8:$AL$15,1,FALSE))=TRUE,IF(CN225&lt;&gt;"",IF(CN225&gt;0,RANK(CN225,$CN$111:$CN$300),""),""),"")</f>
      </c>
      <c s="75">
        <f>IF(ISERROR(VLOOKUP(CV225,$AL$8:$AL$15,1,FALSE))=TRUE,IF(AND(ISERROR(FIND("NeighMkt",$CX$102))=FALSE,LEFT($CW$111,10)="ALL OUTLET",$CA225&lt;&gt;"",DJ225&lt;&gt;""),"",IF(AND($CV225&lt;&gt;$CW225,$CW225=CP$110),$DJ225,"")),"")</f>
      </c>
      <c s="76">
        <f>IF(ISERROR(VLOOKUP(CV225,$AL$8:$AL$15,1,FALSE))=TRUE,IF(CP225&lt;&gt;"",IF(CP225&gt;0,RANK(CP225,$CP$111:$CP$300),""),""),"")</f>
      </c>
      <c s="75">
        <f>IF(ISERROR(VLOOKUP(CV225,$AL$8:$AL$15,1,FALSE))=TRUE,IF(AND(ISERROR(FIND("NeighMkt",$CX$102))=FALSE,LEFT($CW$111,10)="ALL OUTLET",$CA225&lt;&gt;"",DJ225&lt;&gt;""),"",IF(AND($CV225&lt;&gt;$CW225,$CW225=CR$110),$DJ225,"")),"")</f>
      </c>
      <c s="76">
        <f>IF(ISERROR(VLOOKUP(CV225,$AL$8:$AL$15,1,FALSE))=TRUE,IF(CR225&lt;&gt;"",IF(CR225&gt;0,RANK(CR225,$CR$111:$CR$300),""),""),"")</f>
      </c>
      <c s="75">
        <f>IF(ISERROR(VLOOKUP(CV225,$AL$8:$AL$15,1,FALSE))=TRUE,IF(AND(ISERROR(FIND("NeighMkt",$CX$102))=FALSE,LEFT($CW$111,10)="ALL OUTLET",$CA225&lt;&gt;"",DJ225&lt;&gt;""),"",IF($Z$4="",IF(AND($CV225&lt;&gt;$CW225,$CW225=CT$110),$DJ225,""),IF(AND($CV225&lt;&gt;$CW225,$CW225&lt;&gt;CN$110,$CW225&lt;&gt;CP$110,$CW225&lt;&gt;CR$110,$CW225&lt;&gt;$CV$111),$DJ225,""))),"")</f>
      </c>
      <c s="76">
        <f>IF(ISERROR(VLOOKUP(CV225,$AL$8:$AL$15,1,FALSE))=TRUE,IF(CT225&lt;&gt;"",IF(CT225&gt;0,RANK(CT225,$CT$111:$CT$300),""),""),"")</f>
      </c>
      <c s="65" t="str">
        <f t="shared" si="19"/>
        <v>Homedepot.com</v>
      </c>
      <c s="65" t="str">
        <f t="shared" si="20"/>
        <v>Internet</v>
      </c>
      <c s="72" t="str">
        <f>IF('[1]Leakage Tree Data'!A124&lt;&gt;"",'[1]Leakage Tree Data'!A124,"")</f>
        <v>Total US - Homedepot.com</v>
      </c>
      <c s="72" t="str">
        <f>IF('[1]Leakage Tree Data'!B124&lt;&gt;"",'[1]Leakage Tree Data'!B124,"")</f>
        <v>Total US - Internet</v>
      </c>
      <c s="72">
        <f>IF('[1]Leakage Tree Data'!C124&lt;&gt;"",'[1]Leakage Tree Data'!C124,"")</f>
        <v>121171760.292236</v>
      </c>
      <c s="72">
        <f>IF('[1]Leakage Tree Data'!D124&lt;&gt;"",'[1]Leakage Tree Data'!D124,"")</f>
        <v>1364454.2512207</v>
      </c>
      <c s="72">
        <f>IF('[1]Leakage Tree Data'!E124&lt;&gt;"",'[1]Leakage Tree Data'!E124,"")</f>
        <v>1.12604970657353</v>
      </c>
      <c s="72">
        <f>IF('[1]Leakage Tree Data'!F124&lt;&gt;"",'[1]Leakage Tree Data'!F124,"")</f>
        <v>119807306.041016</v>
      </c>
      <c s="72">
        <f>IF('[1]Leakage Tree Data'!G124&lt;&gt;"",'[1]Leakage Tree Data'!G124,"")</f>
        <v>98.8739502934265</v>
      </c>
      <c s="72">
        <f>IF('[1]Leakage Tree Data'!H124&lt;&gt;"",'[1]Leakage Tree Data'!H124,"")</f>
        <v>61518209.9918823</v>
      </c>
      <c s="72" t="str">
        <f>IF('[1]Leakage Tree Data'!I124&lt;&gt;"",'[1]Leakage Tree Data'!I124,"")</f>
        <v>Internet</v>
      </c>
      <c s="72">
        <f>IF('[1]Leakage Tree Data'!J124&lt;&gt;"",'[1]Leakage Tree Data'!J124,"")</f>
      </c>
      <c s="72">
        <f>IF('[1]Leakage Tree Data'!K124&lt;&gt;"",'[1]Leakage Tree Data'!K124,"")</f>
      </c>
      <c s="72">
        <f>IF('[1]Leakage Tree Data'!L124&lt;&gt;"",'[1]Leakage Tree Data'!L124,"")</f>
      </c>
      <c s="72">
        <f>IF('[1]Leakage Tree Data'!M124&lt;&gt;"",'[1]Leakage Tree Data'!M124,"")</f>
      </c>
      <c s="72">
        <f>IF('[1]Leakage Tree Data'!N124&lt;&gt;"",'[1]Leakage Tree Data'!N124,"")</f>
      </c>
      <c s="72">
        <f>IF('[1]Leakage Tree Data'!O124&lt;&gt;"",'[1]Leakage Tree Data'!O124,"")</f>
      </c>
      <c s="72">
        <f>IF('[1]Leakage Tree Data'!P124&lt;&gt;"",'[1]Leakage Tree Data'!P124,"")</f>
      </c>
      <c s="72">
        <f>IF('[1]Leakage Tree Data'!Q124&lt;&gt;"",'[1]Leakage Tree Data'!Q124,"")</f>
      </c>
      <c s="72">
        <f>IF('[1]Leakage Tree Data'!R124&lt;&gt;"",'[1]Leakage Tree Data'!R124,"")</f>
        <v>1017625.85098267</v>
      </c>
      <c s="72">
        <f>IF('[1]Leakage Tree Data'!S124&lt;&gt;"",'[1]Leakage Tree Data'!S124,"")</f>
        <v>-118594.53918457</v>
      </c>
      <c s="72">
        <f>IF('[1]Leakage Tree Data'!T124&lt;&gt;"",'[1]Leakage Tree Data'!T124,"")</f>
        <v>-0.108238898892958</v>
      </c>
      <c s="72">
        <f>IF('[1]Leakage Tree Data'!U124&lt;&gt;"",'[1]Leakage Tree Data'!U124,"")</f>
        <v>1136220.39016724</v>
      </c>
      <c s="72">
        <f>IF('[1]Leakage Tree Data'!V124&lt;&gt;"",'[1]Leakage Tree Data'!V124,"")</f>
        <v>0.108238898892964</v>
      </c>
      <c s="72">
        <f>IF('[1]Leakage Tree Data'!W124&lt;&gt;"",'[1]Leakage Tree Data'!W124,"")</f>
        <v>-1855949.2237854</v>
      </c>
      <c s="72">
        <f>IF('[1]Leakage Tree Data'!X124&lt;&gt;"",'[1]Leakage Tree Data'!X124,"")</f>
      </c>
      <c s="72">
        <f>IF('[1]Leakage Tree Data'!Y124&lt;&gt;"",'[1]Leakage Tree Data'!Y124,"")</f>
      </c>
      <c s="72">
        <f>IF('[1]Leakage Tree Data'!Z124&lt;&gt;"",'[1]Leakage Tree Data'!Z124,"")</f>
      </c>
      <c s="72">
        <f>IF('[1]Leakage Tree Data'!AA124&lt;&gt;"",'[1]Leakage Tree Data'!AA124,"")</f>
      </c>
      <c s="72">
        <f>IF('[1]Leakage Tree Data'!AB124&lt;&gt;"",'[1]Leakage Tree Data'!AB124,"")</f>
      </c>
      <c s="72">
        <f>IF('[1]Leakage Tree Data'!AC124&lt;&gt;"",'[1]Leakage Tree Data'!AC124,"")</f>
      </c>
      <c s="72">
        <f>IF('[1]Leakage Tree Data'!AD124&lt;&gt;"",'[1]Leakage Tree Data'!AD124,"")</f>
      </c>
      <c s="72">
        <f>IF('[1]Leakage Tree Data'!AE124&lt;&gt;"",'[1]Leakage Tree Data'!AE124,"")</f>
      </c>
      <c s="73">
        <f t="shared" si="28"/>
      </c>
      <c s="73">
        <f t="shared" si="29"/>
      </c>
      <c s="73">
        <f t="shared" si="30"/>
      </c>
      <c s="73">
        <f t="shared" si="31"/>
      </c>
      <c s="74">
        <f t="shared" si="32"/>
      </c>
      <c s="74">
        <f t="shared" si="33"/>
      </c>
      <c s="69" t="str">
        <f t="shared" si="17"/>
        <v>Total US - Homedepot.com</v>
      </c>
      <c s="69" t="str">
        <f t="shared" si="18"/>
        <v>Total US - Internet</v>
      </c>
      <c s="77"/>
    </row>
    <row r="226" spans="1:141" s="92" customFormat="1" ht="15">
      <c r="A2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226,$AL$8:$AL$15,1,FALSE))=TRUE,IF(AND(CV226=CW226,CV226&lt;&gt;"",DI$111&lt;&gt;"",DK226&lt;&gt;""),IF(CW$101="Y",DK226-IF(ISERROR(VLOOKUP(CV226,$CA$113:$DK$300,37,FALSE))=TRUE,0,IF(VLOOKUP(CV226,$CA$113:$DK$300,37,FALSE)="",0,VLOOKUP(CV226,$CA$113:$DK$300,37,FALSE))),DK226-IF(AND(CW$102="Y",CV226=$CW$111),DI$111,0)),""),"")</f>
      </c>
      <c s="76">
        <f>IF(ISERROR(VLOOKUP(CV226,$AL$8:$AL$15,1,FALSE))=TRUE,IF(CB226&lt;&gt;"",IF(CB226&gt;0,IF(Z$4&lt;&gt;"",MIN(4,RANK(CB226,$CB$111:$CB$300)),RANK(CB226,$CB$111:$CB$300)),""),""),"")</f>
      </c>
      <c s="75">
        <f>IF(ISERROR(VLOOKUP(CV226,$AL$8:$AL$15,1,FALSE))=TRUE,IF(AND(ISERROR(FIND("NeighMkt",$CX$102))=FALSE,LEFT($CW$111,10)="ALL OUTLET",$CA226&lt;&gt;"",DK226&lt;&gt;""),"",IF(AND($CV226&lt;&gt;$CW226,$CW226=CD$110),$DK226,"")),"")</f>
      </c>
      <c s="76">
        <f>IF(ISERROR(VLOOKUP(CV226,$AL$8:$AL$15,1,FALSE))=TRUE,IF(CD226&lt;&gt;"",IF(CD226&gt;0,RANK(CD226,$CD$111:$CD$300),""),""),"")</f>
      </c>
      <c s="75">
        <f>IF(ISERROR(VLOOKUP(CV226,$AL$8:$AL$15,1,FALSE))=TRUE,IF(AND(ISERROR(FIND("NeighMkt",$CX$102))=FALSE,LEFT($CW$111,10)="ALL OUTLET",$CA226&lt;&gt;"",DK226&lt;&gt;""),"",IF(AND($CV226&lt;&gt;$CW226,$CW226=CF$110),$DK226,"")),"")</f>
      </c>
      <c s="76">
        <f>IF(ISERROR(VLOOKUP(CV226,$AL$8:$AL$15,1,FALSE))=TRUE,IF(CF226&lt;&gt;"",IF(CF226&gt;0,RANK(CF226,$CF$111:$CF$300),""),""),"")</f>
      </c>
      <c s="75">
        <f>IF(ISERROR(VLOOKUP(CV226,$AL$8:$AL$15,1,FALSE))=TRUE,IF(AND(ISERROR(FIND("NeighMkt",$CX$102))=FALSE,LEFT($CW$111,10)="ALL OUTLET",$CA226&lt;&gt;"",DK226&lt;&gt;""),"",IF(AND($CV226&lt;&gt;$CW226,$CW226=CH$110),$DK226,"")),"")</f>
      </c>
      <c s="76">
        <f>IF(ISERROR(VLOOKUP(CV226,$AL$8:$AL$15,1,FALSE))=TRUE,IF(CH226&lt;&gt;"",IF(CH226&gt;0,RANK(CH226,$CH$111:$CH$300),""),""),"")</f>
      </c>
      <c s="75">
        <f>IF(ISERROR(VLOOKUP(CV226,$AL$8:$AL$15,1,FALSE))=TRUE,IF(AND(ISERROR(FIND("NeighMkt",$CX$102))=FALSE,LEFT($CW$111,10)="ALL OUTLET",$CA226&lt;&gt;"",DK226&lt;&gt;""),"",IF($Z$4="",IF(AND($CV226&lt;&gt;$CW226,$CW226=CJ$110),$DK226,""),IF(AND($CV226&lt;&gt;$CW226,$CW226&lt;&gt;CD$110,$CW226&lt;&gt;CF$110,$CW226&lt;&gt;CH$110,$CW226&lt;&gt;$CV$111),$DK226,""))),"")</f>
      </c>
      <c s="76">
        <f>IF(ISERROR(VLOOKUP(CV226,$AL$8:$AL$15,1,FALSE))=TRUE,IF(CJ226&lt;&gt;"",IF(CJ226&gt;0,RANK(CJ226,$CJ$111:$CJ$300),""),""),"")</f>
      </c>
      <c s="75">
        <f>IF(ISERROR(VLOOKUP(CV226,$AL$8:$AL$15,1,FALSE))=TRUE,IF(AND(CV226=CW226,CV226&lt;&gt;"",DJ226&lt;&gt;""),IF(AND(ISERROR(FIND("NeighMkt",$CX$102))=FALSE,LEFT($CW$111,10)="ALL OUTLET"),DJ226-IF(ISERROR(VLOOKUP(CV226,$CA$113:$DK$300,36,FALSE))=TRUE,0,IF(VLOOKUP(CV226,$CA$113:$DK$300,36,FALSE)="",0,VLOOKUP(CV226,$CA$113:$DK$300,36,FALSE))),DJ226),""),"")</f>
      </c>
      <c s="76">
        <f>IF(ISERROR(VLOOKUP(CV226,$AL$8:$AL$15,1,FALSE))=TRUE,IF(CL226&lt;&gt;"",IF(CL226&gt;0,IF($Z$4&lt;&gt;"",MIN(4,RANK(CL226,$CL$111:$CL$300)),RANK(CL226,$CL$111:$CL$300)),""),""),"")</f>
      </c>
      <c s="75">
        <f>IF(ISERROR(VLOOKUP(CV226,$AL$8:$AL$15,1,FALSE))=TRUE,IF(AND(ISERROR(FIND("NeighMkt",$CX$102))=FALSE,LEFT($CW$111,10)="ALL OUTLET",$CA226&lt;&gt;"",DJ226&lt;&gt;""),"",IF(AND($CV226&lt;&gt;$CW226,$CW226=CN$110),$DJ226,"")),"")</f>
      </c>
      <c s="76">
        <f>IF(ISERROR(VLOOKUP(CV226,$AL$8:$AL$15,1,FALSE))=TRUE,IF(CN226&lt;&gt;"",IF(CN226&gt;0,RANK(CN226,$CN$111:$CN$300),""),""),"")</f>
      </c>
      <c s="75">
        <f>IF(ISERROR(VLOOKUP(CV226,$AL$8:$AL$15,1,FALSE))=TRUE,IF(AND(ISERROR(FIND("NeighMkt",$CX$102))=FALSE,LEFT($CW$111,10)="ALL OUTLET",$CA226&lt;&gt;"",DJ226&lt;&gt;""),"",IF(AND($CV226&lt;&gt;$CW226,$CW226=CP$110),$DJ226,"")),"")</f>
      </c>
      <c s="76">
        <f>IF(ISERROR(VLOOKUP(CV226,$AL$8:$AL$15,1,FALSE))=TRUE,IF(CP226&lt;&gt;"",IF(CP226&gt;0,RANK(CP226,$CP$111:$CP$300),""),""),"")</f>
      </c>
      <c s="75">
        <f>IF(ISERROR(VLOOKUP(CV226,$AL$8:$AL$15,1,FALSE))=TRUE,IF(AND(ISERROR(FIND("NeighMkt",$CX$102))=FALSE,LEFT($CW$111,10)="ALL OUTLET",$CA226&lt;&gt;"",DJ226&lt;&gt;""),"",IF(AND($CV226&lt;&gt;$CW226,$CW226=CR$110),$DJ226,"")),"")</f>
      </c>
      <c s="76">
        <f>IF(ISERROR(VLOOKUP(CV226,$AL$8:$AL$15,1,FALSE))=TRUE,IF(CR226&lt;&gt;"",IF(CR226&gt;0,RANK(CR226,$CR$111:$CR$300),""),""),"")</f>
      </c>
      <c s="75">
        <f>IF(ISERROR(VLOOKUP(CV226,$AL$8:$AL$15,1,FALSE))=TRUE,IF(AND(ISERROR(FIND("NeighMkt",$CX$102))=FALSE,LEFT($CW$111,10)="ALL OUTLET",$CA226&lt;&gt;"",DJ226&lt;&gt;""),"",IF($Z$4="",IF(AND($CV226&lt;&gt;$CW226,$CW226=CT$110),$DJ226,""),IF(AND($CV226&lt;&gt;$CW226,$CW226&lt;&gt;CN$110,$CW226&lt;&gt;CP$110,$CW226&lt;&gt;CR$110,$CW226&lt;&gt;$CV$111),$DJ226,""))),"")</f>
      </c>
      <c s="76">
        <f>IF(ISERROR(VLOOKUP(CV226,$AL$8:$AL$15,1,FALSE))=TRUE,IF(CT226&lt;&gt;"",IF(CT226&gt;0,RANK(CT226,$CT$111:$CT$300),""),""),"")</f>
      </c>
      <c s="65" t="str">
        <f t="shared" si="19"/>
        <v>Homeshopnet.com</v>
      </c>
      <c s="65" t="str">
        <f t="shared" si="20"/>
        <v>Internet</v>
      </c>
      <c s="72" t="str">
        <f>IF('[1]Leakage Tree Data'!A125&lt;&gt;"",'[1]Leakage Tree Data'!A125,"")</f>
        <v>Total US - Homeshopnet.com</v>
      </c>
      <c s="72" t="str">
        <f>IF('[1]Leakage Tree Data'!B125&lt;&gt;"",'[1]Leakage Tree Data'!B125,"")</f>
        <v>Total US - Internet</v>
      </c>
      <c s="72">
        <f>IF('[1]Leakage Tree Data'!C125&lt;&gt;"",'[1]Leakage Tree Data'!C125,"")</f>
        <v>121171760.292236</v>
      </c>
      <c s="72">
        <f>IF('[1]Leakage Tree Data'!D125&lt;&gt;"",'[1]Leakage Tree Data'!D125,"")</f>
        <v>710465.702087402</v>
      </c>
      <c s="72">
        <f>IF('[1]Leakage Tree Data'!E125&lt;&gt;"",'[1]Leakage Tree Data'!E125,"")</f>
        <v>0.586329438785023</v>
      </c>
      <c s="72">
        <f>IF('[1]Leakage Tree Data'!F125&lt;&gt;"",'[1]Leakage Tree Data'!F125,"")</f>
        <v>120461294.590149</v>
      </c>
      <c s="72">
        <f>IF('[1]Leakage Tree Data'!G125&lt;&gt;"",'[1]Leakage Tree Data'!G125,"")</f>
        <v>99.413670561215</v>
      </c>
      <c s="72">
        <f>IF('[1]Leakage Tree Data'!H125&lt;&gt;"",'[1]Leakage Tree Data'!H125,"")</f>
        <v>61518209.9918823</v>
      </c>
      <c s="72" t="str">
        <f>IF('[1]Leakage Tree Data'!I125&lt;&gt;"",'[1]Leakage Tree Data'!I125,"")</f>
        <v>Internet</v>
      </c>
      <c s="72">
        <f>IF('[1]Leakage Tree Data'!J125&lt;&gt;"",'[1]Leakage Tree Data'!J125,"")</f>
      </c>
      <c s="72">
        <f>IF('[1]Leakage Tree Data'!K125&lt;&gt;"",'[1]Leakage Tree Data'!K125,"")</f>
      </c>
      <c s="72">
        <f>IF('[1]Leakage Tree Data'!L125&lt;&gt;"",'[1]Leakage Tree Data'!L125,"")</f>
      </c>
      <c s="72">
        <f>IF('[1]Leakage Tree Data'!M125&lt;&gt;"",'[1]Leakage Tree Data'!M125,"")</f>
      </c>
      <c s="72">
        <f>IF('[1]Leakage Tree Data'!N125&lt;&gt;"",'[1]Leakage Tree Data'!N125,"")</f>
      </c>
      <c s="72">
        <f>IF('[1]Leakage Tree Data'!O125&lt;&gt;"",'[1]Leakage Tree Data'!O125,"")</f>
      </c>
      <c s="72">
        <f>IF('[1]Leakage Tree Data'!P125&lt;&gt;"",'[1]Leakage Tree Data'!P125,"")</f>
      </c>
      <c s="72">
        <f>IF('[1]Leakage Tree Data'!Q125&lt;&gt;"",'[1]Leakage Tree Data'!Q125,"")</f>
      </c>
      <c s="72">
        <f>IF('[1]Leakage Tree Data'!R125&lt;&gt;"",'[1]Leakage Tree Data'!R125,"")</f>
        <v>1017625.85098267</v>
      </c>
      <c s="72">
        <f>IF('[1]Leakage Tree Data'!S125&lt;&gt;"",'[1]Leakage Tree Data'!S125,"")</f>
        <v>-108455.457061768</v>
      </c>
      <c s="72">
        <f>IF('[1]Leakage Tree Data'!T125&lt;&gt;"",'[1]Leakage Tree Data'!T125,"")</f>
        <v>-0.0952294297111428</v>
      </c>
      <c s="72">
        <f>IF('[1]Leakage Tree Data'!U125&lt;&gt;"",'[1]Leakage Tree Data'!U125,"")</f>
        <v>1126081.30804443</v>
      </c>
      <c s="72">
        <f>IF('[1]Leakage Tree Data'!V125&lt;&gt;"",'[1]Leakage Tree Data'!V125,"")</f>
        <v>0.0952294297111393</v>
      </c>
      <c s="72">
        <f>IF('[1]Leakage Tree Data'!W125&lt;&gt;"",'[1]Leakage Tree Data'!W125,"")</f>
        <v>-1855949.2237854</v>
      </c>
      <c s="72">
        <f>IF('[1]Leakage Tree Data'!X125&lt;&gt;"",'[1]Leakage Tree Data'!X125,"")</f>
      </c>
      <c s="72">
        <f>IF('[1]Leakage Tree Data'!Y125&lt;&gt;"",'[1]Leakage Tree Data'!Y125,"")</f>
      </c>
      <c s="72">
        <f>IF('[1]Leakage Tree Data'!Z125&lt;&gt;"",'[1]Leakage Tree Data'!Z125,"")</f>
      </c>
      <c s="72">
        <f>IF('[1]Leakage Tree Data'!AA125&lt;&gt;"",'[1]Leakage Tree Data'!AA125,"")</f>
      </c>
      <c s="72">
        <f>IF('[1]Leakage Tree Data'!AB125&lt;&gt;"",'[1]Leakage Tree Data'!AB125,"")</f>
      </c>
      <c s="72">
        <f>IF('[1]Leakage Tree Data'!AC125&lt;&gt;"",'[1]Leakage Tree Data'!AC125,"")</f>
      </c>
      <c s="72">
        <f>IF('[1]Leakage Tree Data'!AD125&lt;&gt;"",'[1]Leakage Tree Data'!AD125,"")</f>
      </c>
      <c s="72">
        <f>IF('[1]Leakage Tree Data'!AE125&lt;&gt;"",'[1]Leakage Tree Data'!AE125,"")</f>
      </c>
      <c s="73">
        <f t="shared" si="28"/>
      </c>
      <c s="73">
        <f t="shared" si="29"/>
      </c>
      <c s="73">
        <f t="shared" si="30"/>
      </c>
      <c s="73">
        <f t="shared" si="31"/>
      </c>
      <c s="74">
        <f t="shared" si="32"/>
      </c>
      <c s="74">
        <f t="shared" si="33"/>
      </c>
      <c s="69" t="str">
        <f t="shared" si="17"/>
        <v>Total US - Homeshopnet.com</v>
      </c>
      <c s="69" t="str">
        <f t="shared" si="18"/>
        <v>Total US - Internet</v>
      </c>
      <c s="77"/>
    </row>
    <row r="227" spans="1:141" s="92" customFormat="1" ht="15">
      <c r="A2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227,$AL$8:$AL$15,1,FALSE))=TRUE,IF(AND(CV227=CW227,CV227&lt;&gt;"",DI$111&lt;&gt;"",DK227&lt;&gt;""),IF(CW$101="Y",DK227-IF(ISERROR(VLOOKUP(CV227,$CA$113:$DK$300,37,FALSE))=TRUE,0,IF(VLOOKUP(CV227,$CA$113:$DK$300,37,FALSE)="",0,VLOOKUP(CV227,$CA$113:$DK$300,37,FALSE))),DK227-IF(AND(CW$102="Y",CV227=$CW$111),DI$111,0)),""),"")</f>
      </c>
      <c s="76">
        <f>IF(ISERROR(VLOOKUP(CV227,$AL$8:$AL$15,1,FALSE))=TRUE,IF(CB227&lt;&gt;"",IF(CB227&gt;0,IF(Z$4&lt;&gt;"",MIN(4,RANK(CB227,$CB$111:$CB$300)),RANK(CB227,$CB$111:$CB$300)),""),""),"")</f>
      </c>
      <c s="75">
        <f>IF(ISERROR(VLOOKUP(CV227,$AL$8:$AL$15,1,FALSE))=TRUE,IF(AND(ISERROR(FIND("NeighMkt",$CX$102))=FALSE,LEFT($CW$111,10)="ALL OUTLET",$CA227&lt;&gt;"",DK227&lt;&gt;""),"",IF(AND($CV227&lt;&gt;$CW227,$CW227=CD$110),$DK227,"")),"")</f>
      </c>
      <c s="76">
        <f>IF(ISERROR(VLOOKUP(CV227,$AL$8:$AL$15,1,FALSE))=TRUE,IF(CD227&lt;&gt;"",IF(CD227&gt;0,RANK(CD227,$CD$111:$CD$300),""),""),"")</f>
      </c>
      <c s="75">
        <f>IF(ISERROR(VLOOKUP(CV227,$AL$8:$AL$15,1,FALSE))=TRUE,IF(AND(ISERROR(FIND("NeighMkt",$CX$102))=FALSE,LEFT($CW$111,10)="ALL OUTLET",$CA227&lt;&gt;"",DK227&lt;&gt;""),"",IF(AND($CV227&lt;&gt;$CW227,$CW227=CF$110),$DK227,"")),"")</f>
      </c>
      <c s="76">
        <f>IF(ISERROR(VLOOKUP(CV227,$AL$8:$AL$15,1,FALSE))=TRUE,IF(CF227&lt;&gt;"",IF(CF227&gt;0,RANK(CF227,$CF$111:$CF$300),""),""),"")</f>
      </c>
      <c s="75">
        <f>IF(ISERROR(VLOOKUP(CV227,$AL$8:$AL$15,1,FALSE))=TRUE,IF(AND(ISERROR(FIND("NeighMkt",$CX$102))=FALSE,LEFT($CW$111,10)="ALL OUTLET",$CA227&lt;&gt;"",DK227&lt;&gt;""),"",IF(AND($CV227&lt;&gt;$CW227,$CW227=CH$110),$DK227,"")),"")</f>
      </c>
      <c s="76">
        <f>IF(ISERROR(VLOOKUP(CV227,$AL$8:$AL$15,1,FALSE))=TRUE,IF(CH227&lt;&gt;"",IF(CH227&gt;0,RANK(CH227,$CH$111:$CH$300),""),""),"")</f>
      </c>
      <c s="75">
        <f>IF(ISERROR(VLOOKUP(CV227,$AL$8:$AL$15,1,FALSE))=TRUE,IF(AND(ISERROR(FIND("NeighMkt",$CX$102))=FALSE,LEFT($CW$111,10)="ALL OUTLET",$CA227&lt;&gt;"",DK227&lt;&gt;""),"",IF($Z$4="",IF(AND($CV227&lt;&gt;$CW227,$CW227=CJ$110),$DK227,""),IF(AND($CV227&lt;&gt;$CW227,$CW227&lt;&gt;CD$110,$CW227&lt;&gt;CF$110,$CW227&lt;&gt;CH$110,$CW227&lt;&gt;$CV$111),$DK227,""))),"")</f>
      </c>
      <c s="76">
        <f>IF(ISERROR(VLOOKUP(CV227,$AL$8:$AL$15,1,FALSE))=TRUE,IF(CJ227&lt;&gt;"",IF(CJ227&gt;0,RANK(CJ227,$CJ$111:$CJ$300),""),""),"")</f>
      </c>
      <c s="75">
        <f>IF(ISERROR(VLOOKUP(CV227,$AL$8:$AL$15,1,FALSE))=TRUE,IF(AND(CV227=CW227,CV227&lt;&gt;"",DJ227&lt;&gt;""),IF(AND(ISERROR(FIND("NeighMkt",$CX$102))=FALSE,LEFT($CW$111,10)="ALL OUTLET"),DJ227-IF(ISERROR(VLOOKUP(CV227,$CA$113:$DK$300,36,FALSE))=TRUE,0,IF(VLOOKUP(CV227,$CA$113:$DK$300,36,FALSE)="",0,VLOOKUP(CV227,$CA$113:$DK$300,36,FALSE))),DJ227),""),"")</f>
      </c>
      <c s="76">
        <f>IF(ISERROR(VLOOKUP(CV227,$AL$8:$AL$15,1,FALSE))=TRUE,IF(CL227&lt;&gt;"",IF(CL227&gt;0,IF($Z$4&lt;&gt;"",MIN(4,RANK(CL227,$CL$111:$CL$300)),RANK(CL227,$CL$111:$CL$300)),""),""),"")</f>
      </c>
      <c s="75">
        <f>IF(ISERROR(VLOOKUP(CV227,$AL$8:$AL$15,1,FALSE))=TRUE,IF(AND(ISERROR(FIND("NeighMkt",$CX$102))=FALSE,LEFT($CW$111,10)="ALL OUTLET",$CA227&lt;&gt;"",DJ227&lt;&gt;""),"",IF(AND($CV227&lt;&gt;$CW227,$CW227=CN$110),$DJ227,"")),"")</f>
      </c>
      <c s="76">
        <f>IF(ISERROR(VLOOKUP(CV227,$AL$8:$AL$15,1,FALSE))=TRUE,IF(CN227&lt;&gt;"",IF(CN227&gt;0,RANK(CN227,$CN$111:$CN$300),""),""),"")</f>
      </c>
      <c s="75">
        <f>IF(ISERROR(VLOOKUP(CV227,$AL$8:$AL$15,1,FALSE))=TRUE,IF(AND(ISERROR(FIND("NeighMkt",$CX$102))=FALSE,LEFT($CW$111,10)="ALL OUTLET",$CA227&lt;&gt;"",DJ227&lt;&gt;""),"",IF(AND($CV227&lt;&gt;$CW227,$CW227=CP$110),$DJ227,"")),"")</f>
      </c>
      <c s="76">
        <f>IF(ISERROR(VLOOKUP(CV227,$AL$8:$AL$15,1,FALSE))=TRUE,IF(CP227&lt;&gt;"",IF(CP227&gt;0,RANK(CP227,$CP$111:$CP$300),""),""),"")</f>
      </c>
      <c s="75">
        <f>IF(ISERROR(VLOOKUP(CV227,$AL$8:$AL$15,1,FALSE))=TRUE,IF(AND(ISERROR(FIND("NeighMkt",$CX$102))=FALSE,LEFT($CW$111,10)="ALL OUTLET",$CA227&lt;&gt;"",DJ227&lt;&gt;""),"",IF(AND($CV227&lt;&gt;$CW227,$CW227=CR$110),$DJ227,"")),"")</f>
      </c>
      <c s="76">
        <f>IF(ISERROR(VLOOKUP(CV227,$AL$8:$AL$15,1,FALSE))=TRUE,IF(CR227&lt;&gt;"",IF(CR227&gt;0,RANK(CR227,$CR$111:$CR$300),""),""),"")</f>
      </c>
      <c s="75">
        <f>IF(ISERROR(VLOOKUP(CV227,$AL$8:$AL$15,1,FALSE))=TRUE,IF(AND(ISERROR(FIND("NeighMkt",$CX$102))=FALSE,LEFT($CW$111,10)="ALL OUTLET",$CA227&lt;&gt;"",DJ227&lt;&gt;""),"",IF($Z$4="",IF(AND($CV227&lt;&gt;$CW227,$CW227=CT$110),$DJ227,""),IF(AND($CV227&lt;&gt;$CW227,$CW227&lt;&gt;CN$110,$CW227&lt;&gt;CP$110,$CW227&lt;&gt;CR$110,$CW227&lt;&gt;$CV$111),$DJ227,""))),"")</f>
      </c>
      <c s="76">
        <f>IF(ISERROR(VLOOKUP(CV227,$AL$8:$AL$15,1,FALSE))=TRUE,IF(CT227&lt;&gt;"",IF(CT227&gt;0,RANK(CT227,$CT$111:$CT$300),""),""),"")</f>
      </c>
      <c s="65" t="str">
        <f t="shared" si="19"/>
        <v>Kmart.com</v>
      </c>
      <c s="65" t="str">
        <f t="shared" si="20"/>
        <v>Internet</v>
      </c>
      <c s="72" t="str">
        <f>IF('[1]Leakage Tree Data'!A126&lt;&gt;"",'[1]Leakage Tree Data'!A126,"")</f>
        <v>Total US - Kmart.com</v>
      </c>
      <c s="72" t="str">
        <f>IF('[1]Leakage Tree Data'!B126&lt;&gt;"",'[1]Leakage Tree Data'!B126,"")</f>
        <v>Total US - Internet</v>
      </c>
      <c s="72">
        <f>IF('[1]Leakage Tree Data'!C126&lt;&gt;"",'[1]Leakage Tree Data'!C126,"")</f>
        <v>121171760.292236</v>
      </c>
      <c s="72">
        <f>IF('[1]Leakage Tree Data'!D126&lt;&gt;"",'[1]Leakage Tree Data'!D126,"")</f>
        <v>2618421.93438721</v>
      </c>
      <c s="72">
        <f>IF('[1]Leakage Tree Data'!E126&lt;&gt;"",'[1]Leakage Tree Data'!E126,"")</f>
        <v>2.16091763301302</v>
      </c>
      <c s="72">
        <f>IF('[1]Leakage Tree Data'!F126&lt;&gt;"",'[1]Leakage Tree Data'!F126,"")</f>
        <v>118553338.357849</v>
      </c>
      <c s="72">
        <f>IF('[1]Leakage Tree Data'!G126&lt;&gt;"",'[1]Leakage Tree Data'!G126,"")</f>
        <v>97.839082366987</v>
      </c>
      <c s="72">
        <f>IF('[1]Leakage Tree Data'!H126&lt;&gt;"",'[1]Leakage Tree Data'!H126,"")</f>
        <v>61518209.9918823</v>
      </c>
      <c s="72" t="str">
        <f>IF('[1]Leakage Tree Data'!I126&lt;&gt;"",'[1]Leakage Tree Data'!I126,"")</f>
        <v>Internet</v>
      </c>
      <c s="72">
        <f>IF('[1]Leakage Tree Data'!J126&lt;&gt;"",'[1]Leakage Tree Data'!J126,"")</f>
      </c>
      <c s="72">
        <f>IF('[1]Leakage Tree Data'!K126&lt;&gt;"",'[1]Leakage Tree Data'!K126,"")</f>
      </c>
      <c s="72">
        <f>IF('[1]Leakage Tree Data'!L126&lt;&gt;"",'[1]Leakage Tree Data'!L126,"")</f>
      </c>
      <c s="72">
        <f>IF('[1]Leakage Tree Data'!M126&lt;&gt;"",'[1]Leakage Tree Data'!M126,"")</f>
      </c>
      <c s="72">
        <f>IF('[1]Leakage Tree Data'!N126&lt;&gt;"",'[1]Leakage Tree Data'!N126,"")</f>
      </c>
      <c s="72">
        <f>IF('[1]Leakage Tree Data'!O126&lt;&gt;"",'[1]Leakage Tree Data'!O126,"")</f>
        <v>5.12967829161044</v>
      </c>
      <c s="72">
        <f>IF('[1]Leakage Tree Data'!P126&lt;&gt;"",'[1]Leakage Tree Data'!P126,"")</f>
        <v>259917.685345998</v>
      </c>
      <c s="72">
        <f>IF('[1]Leakage Tree Data'!Q126&lt;&gt;"",'[1]Leakage Tree Data'!Q126,"")</f>
      </c>
      <c s="72">
        <f>IF('[1]Leakage Tree Data'!R126&lt;&gt;"",'[1]Leakage Tree Data'!R126,"")</f>
        <v>1017625.85098267</v>
      </c>
      <c s="72">
        <f>IF('[1]Leakage Tree Data'!S126&lt;&gt;"",'[1]Leakage Tree Data'!S126,"")</f>
        <v>-2474997.45904541</v>
      </c>
      <c s="72">
        <f>IF('[1]Leakage Tree Data'!T126&lt;&gt;"",'[1]Leakage Tree Data'!T126,"")</f>
        <v>-2.07815363749987</v>
      </c>
      <c s="72">
        <f>IF('[1]Leakage Tree Data'!U126&lt;&gt;"",'[1]Leakage Tree Data'!U126,"")</f>
        <v>3492623.31002808</v>
      </c>
      <c s="72">
        <f>IF('[1]Leakage Tree Data'!V126&lt;&gt;"",'[1]Leakage Tree Data'!V126,"")</f>
        <v>2.07815363749987</v>
      </c>
      <c s="72">
        <f>IF('[1]Leakage Tree Data'!W126&lt;&gt;"",'[1]Leakage Tree Data'!W126,"")</f>
        <v>-1855949.2237854</v>
      </c>
      <c s="72">
        <f>IF('[1]Leakage Tree Data'!X126&lt;&gt;"",'[1]Leakage Tree Data'!X126,"")</f>
      </c>
      <c s="72">
        <f>IF('[1]Leakage Tree Data'!Y126&lt;&gt;"",'[1]Leakage Tree Data'!Y126,"")</f>
      </c>
      <c s="72">
        <f>IF('[1]Leakage Tree Data'!Z126&lt;&gt;"",'[1]Leakage Tree Data'!Z126,"")</f>
      </c>
      <c s="72">
        <f>IF('[1]Leakage Tree Data'!AA126&lt;&gt;"",'[1]Leakage Tree Data'!AA126,"")</f>
      </c>
      <c s="72">
        <f>IF('[1]Leakage Tree Data'!AB126&lt;&gt;"",'[1]Leakage Tree Data'!AB126,"")</f>
      </c>
      <c s="72">
        <f>IF('[1]Leakage Tree Data'!AC126&lt;&gt;"",'[1]Leakage Tree Data'!AC126,"")</f>
      </c>
      <c s="72">
        <f>IF('[1]Leakage Tree Data'!AD126&lt;&gt;"",'[1]Leakage Tree Data'!AD126,"")</f>
        <v>-1.23278726272779</v>
      </c>
      <c s="72">
        <f>IF('[1]Leakage Tree Data'!AE126&lt;&gt;"",'[1]Leakage Tree Data'!AE126,"")</f>
      </c>
      <c s="73">
        <f t="shared" si="28"/>
      </c>
      <c s="73">
        <f t="shared" si="29"/>
      </c>
      <c s="73">
        <f t="shared" si="30"/>
      </c>
      <c s="73">
        <f t="shared" si="31"/>
      </c>
      <c s="74">
        <f t="shared" si="32"/>
      </c>
      <c s="74">
        <f t="shared" si="33"/>
      </c>
      <c s="69" t="str">
        <f t="shared" si="17"/>
        <v>Total US - Kmart.com</v>
      </c>
      <c s="69" t="str">
        <f t="shared" si="18"/>
        <v>Total US - Internet</v>
      </c>
      <c s="77"/>
    </row>
    <row r="228" spans="1:141" s="92" customFormat="1" ht="15">
      <c r="A2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228,$AL$8:$AL$15,1,FALSE))=TRUE,IF(AND(CV228=CW228,CV228&lt;&gt;"",DI$111&lt;&gt;"",DK228&lt;&gt;""),IF(CW$101="Y",DK228-IF(ISERROR(VLOOKUP(CV228,$CA$113:$DK$300,37,FALSE))=TRUE,0,IF(VLOOKUP(CV228,$CA$113:$DK$300,37,FALSE)="",0,VLOOKUP(CV228,$CA$113:$DK$300,37,FALSE))),DK228-IF(AND(CW$102="Y",CV228=$CW$111),DI$111,0)),""),"")</f>
      </c>
      <c s="76">
        <f>IF(ISERROR(VLOOKUP(CV228,$AL$8:$AL$15,1,FALSE))=TRUE,IF(CB228&lt;&gt;"",IF(CB228&gt;0,IF(Z$4&lt;&gt;"",MIN(4,RANK(CB228,$CB$111:$CB$300)),RANK(CB228,$CB$111:$CB$300)),""),""),"")</f>
      </c>
      <c s="75">
        <f>IF(ISERROR(VLOOKUP(CV228,$AL$8:$AL$15,1,FALSE))=TRUE,IF(AND(ISERROR(FIND("NeighMkt",$CX$102))=FALSE,LEFT($CW$111,10)="ALL OUTLET",$CA228&lt;&gt;"",DK228&lt;&gt;""),"",IF(AND($CV228&lt;&gt;$CW228,$CW228=CD$110),$DK228,"")),"")</f>
      </c>
      <c s="76">
        <f>IF(ISERROR(VLOOKUP(CV228,$AL$8:$AL$15,1,FALSE))=TRUE,IF(CD228&lt;&gt;"",IF(CD228&gt;0,RANK(CD228,$CD$111:$CD$300),""),""),"")</f>
      </c>
      <c s="75">
        <f>IF(ISERROR(VLOOKUP(CV228,$AL$8:$AL$15,1,FALSE))=TRUE,IF(AND(ISERROR(FIND("NeighMkt",$CX$102))=FALSE,LEFT($CW$111,10)="ALL OUTLET",$CA228&lt;&gt;"",DK228&lt;&gt;""),"",IF(AND($CV228&lt;&gt;$CW228,$CW228=CF$110),$DK228,"")),"")</f>
      </c>
      <c s="76">
        <f>IF(ISERROR(VLOOKUP(CV228,$AL$8:$AL$15,1,FALSE))=TRUE,IF(CF228&lt;&gt;"",IF(CF228&gt;0,RANK(CF228,$CF$111:$CF$300),""),""),"")</f>
      </c>
      <c s="75">
        <f>IF(ISERROR(VLOOKUP(CV228,$AL$8:$AL$15,1,FALSE))=TRUE,IF(AND(ISERROR(FIND("NeighMkt",$CX$102))=FALSE,LEFT($CW$111,10)="ALL OUTLET",$CA228&lt;&gt;"",DK228&lt;&gt;""),"",IF(AND($CV228&lt;&gt;$CW228,$CW228=CH$110),$DK228,"")),"")</f>
      </c>
      <c s="76">
        <f>IF(ISERROR(VLOOKUP(CV228,$AL$8:$AL$15,1,FALSE))=TRUE,IF(CH228&lt;&gt;"",IF(CH228&gt;0,RANK(CH228,$CH$111:$CH$300),""),""),"")</f>
      </c>
      <c s="75">
        <f>IF(ISERROR(VLOOKUP(CV228,$AL$8:$AL$15,1,FALSE))=TRUE,IF(AND(ISERROR(FIND("NeighMkt",$CX$102))=FALSE,LEFT($CW$111,10)="ALL OUTLET",$CA228&lt;&gt;"",DK228&lt;&gt;""),"",IF($Z$4="",IF(AND($CV228&lt;&gt;$CW228,$CW228=CJ$110),$DK228,""),IF(AND($CV228&lt;&gt;$CW228,$CW228&lt;&gt;CD$110,$CW228&lt;&gt;CF$110,$CW228&lt;&gt;CH$110,$CW228&lt;&gt;$CV$111),$DK228,""))),"")</f>
      </c>
      <c s="76">
        <f>IF(ISERROR(VLOOKUP(CV228,$AL$8:$AL$15,1,FALSE))=TRUE,IF(CJ228&lt;&gt;"",IF(CJ228&gt;0,RANK(CJ228,$CJ$111:$CJ$300),""),""),"")</f>
      </c>
      <c s="75">
        <f>IF(ISERROR(VLOOKUP(CV228,$AL$8:$AL$15,1,FALSE))=TRUE,IF(AND(CV228=CW228,CV228&lt;&gt;"",DJ228&lt;&gt;""),IF(AND(ISERROR(FIND("NeighMkt",$CX$102))=FALSE,LEFT($CW$111,10)="ALL OUTLET"),DJ228-IF(ISERROR(VLOOKUP(CV228,$CA$113:$DK$300,36,FALSE))=TRUE,0,IF(VLOOKUP(CV228,$CA$113:$DK$300,36,FALSE)="",0,VLOOKUP(CV228,$CA$113:$DK$300,36,FALSE))),DJ228),""),"")</f>
      </c>
      <c s="76">
        <f>IF(ISERROR(VLOOKUP(CV228,$AL$8:$AL$15,1,FALSE))=TRUE,IF(CL228&lt;&gt;"",IF(CL228&gt;0,IF($Z$4&lt;&gt;"",MIN(4,RANK(CL228,$CL$111:$CL$300)),RANK(CL228,$CL$111:$CL$300)),""),""),"")</f>
      </c>
      <c s="75">
        <f>IF(ISERROR(VLOOKUP(CV228,$AL$8:$AL$15,1,FALSE))=TRUE,IF(AND(ISERROR(FIND("NeighMkt",$CX$102))=FALSE,LEFT($CW$111,10)="ALL OUTLET",$CA228&lt;&gt;"",DJ228&lt;&gt;""),"",IF(AND($CV228&lt;&gt;$CW228,$CW228=CN$110),$DJ228,"")),"")</f>
      </c>
      <c s="76">
        <f>IF(ISERROR(VLOOKUP(CV228,$AL$8:$AL$15,1,FALSE))=TRUE,IF(CN228&lt;&gt;"",IF(CN228&gt;0,RANK(CN228,$CN$111:$CN$300),""),""),"")</f>
      </c>
      <c s="75">
        <f>IF(ISERROR(VLOOKUP(CV228,$AL$8:$AL$15,1,FALSE))=TRUE,IF(AND(ISERROR(FIND("NeighMkt",$CX$102))=FALSE,LEFT($CW$111,10)="ALL OUTLET",$CA228&lt;&gt;"",DJ228&lt;&gt;""),"",IF(AND($CV228&lt;&gt;$CW228,$CW228=CP$110),$DJ228,"")),"")</f>
      </c>
      <c s="76">
        <f>IF(ISERROR(VLOOKUP(CV228,$AL$8:$AL$15,1,FALSE))=TRUE,IF(CP228&lt;&gt;"",IF(CP228&gt;0,RANK(CP228,$CP$111:$CP$300),""),""),"")</f>
      </c>
      <c s="75">
        <f>IF(ISERROR(VLOOKUP(CV228,$AL$8:$AL$15,1,FALSE))=TRUE,IF(AND(ISERROR(FIND("NeighMkt",$CX$102))=FALSE,LEFT($CW$111,10)="ALL OUTLET",$CA228&lt;&gt;"",DJ228&lt;&gt;""),"",IF(AND($CV228&lt;&gt;$CW228,$CW228=CR$110),$DJ228,"")),"")</f>
      </c>
      <c s="76">
        <f>IF(ISERROR(VLOOKUP(CV228,$AL$8:$AL$15,1,FALSE))=TRUE,IF(CR228&lt;&gt;"",IF(CR228&gt;0,RANK(CR228,$CR$111:$CR$300),""),""),"")</f>
      </c>
      <c s="75">
        <f>IF(ISERROR(VLOOKUP(CV228,$AL$8:$AL$15,1,FALSE))=TRUE,IF(AND(ISERROR(FIND("NeighMkt",$CX$102))=FALSE,LEFT($CW$111,10)="ALL OUTLET",$CA228&lt;&gt;"",DJ228&lt;&gt;""),"",IF($Z$4="",IF(AND($CV228&lt;&gt;$CW228,$CW228=CT$110),$DJ228,""),IF(AND($CV228&lt;&gt;$CW228,$CW228&lt;&gt;CN$110,$CW228&lt;&gt;CP$110,$CW228&lt;&gt;CR$110,$CW228&lt;&gt;$CV$111),$DJ228,""))),"")</f>
      </c>
      <c s="76">
        <f>IF(ISERROR(VLOOKUP(CV228,$AL$8:$AL$15,1,FALSE))=TRUE,IF(CT228&lt;&gt;"",IF(CT228&gt;0,RANK(CT228,$CT$111:$CT$300),""),""),"")</f>
      </c>
      <c s="65" t="str">
        <f t="shared" si="19"/>
        <v>Meijer.com</v>
      </c>
      <c s="65" t="str">
        <f t="shared" si="20"/>
        <v>Internet</v>
      </c>
      <c s="72" t="str">
        <f>IF('[1]Leakage Tree Data'!A127&lt;&gt;"",'[1]Leakage Tree Data'!A127,"")</f>
        <v>Total US - Meijer.com</v>
      </c>
      <c s="72" t="str">
        <f>IF('[1]Leakage Tree Data'!B127&lt;&gt;"",'[1]Leakage Tree Data'!B127,"")</f>
        <v>Total US - Internet</v>
      </c>
      <c s="72">
        <f>IF('[1]Leakage Tree Data'!C127&lt;&gt;"",'[1]Leakage Tree Data'!C127,"")</f>
        <v>121171760.292236</v>
      </c>
      <c s="72">
        <f>IF('[1]Leakage Tree Data'!D127&lt;&gt;"",'[1]Leakage Tree Data'!D127,"")</f>
        <v>900783.834228516</v>
      </c>
      <c s="72">
        <f>IF('[1]Leakage Tree Data'!E127&lt;&gt;"",'[1]Leakage Tree Data'!E127,"")</f>
        <v>0.743394196845905</v>
      </c>
      <c s="72">
        <f>IF('[1]Leakage Tree Data'!F127&lt;&gt;"",'[1]Leakage Tree Data'!F127,"")</f>
        <v>120270976.458008</v>
      </c>
      <c s="72">
        <f>IF('[1]Leakage Tree Data'!G127&lt;&gt;"",'[1]Leakage Tree Data'!G127,"")</f>
        <v>99.2566058031541</v>
      </c>
      <c s="72">
        <f>IF('[1]Leakage Tree Data'!H127&lt;&gt;"",'[1]Leakage Tree Data'!H127,"")</f>
        <v>61518209.9918823</v>
      </c>
      <c s="72" t="str">
        <f>IF('[1]Leakage Tree Data'!I127&lt;&gt;"",'[1]Leakage Tree Data'!I127,"")</f>
        <v>Internet</v>
      </c>
      <c s="72">
        <f>IF('[1]Leakage Tree Data'!J127&lt;&gt;"",'[1]Leakage Tree Data'!J127,"")</f>
      </c>
      <c s="72">
        <f>IF('[1]Leakage Tree Data'!K127&lt;&gt;"",'[1]Leakage Tree Data'!K127,"")</f>
      </c>
      <c s="72">
        <f>IF('[1]Leakage Tree Data'!L127&lt;&gt;"",'[1]Leakage Tree Data'!L127,"")</f>
      </c>
      <c s="72">
        <f>IF('[1]Leakage Tree Data'!M127&lt;&gt;"",'[1]Leakage Tree Data'!M127,"")</f>
      </c>
      <c s="72">
        <f>IF('[1]Leakage Tree Data'!N127&lt;&gt;"",'[1]Leakage Tree Data'!N127,"")</f>
      </c>
      <c s="72">
        <f>IF('[1]Leakage Tree Data'!O127&lt;&gt;"",'[1]Leakage Tree Data'!O127,"")</f>
        <v>13.4042821471982</v>
      </c>
      <c s="72">
        <f>IF('[1]Leakage Tree Data'!P127&lt;&gt;"",'[1]Leakage Tree Data'!P127,"")</f>
        <v>115900.441166089</v>
      </c>
      <c s="72">
        <f>IF('[1]Leakage Tree Data'!Q127&lt;&gt;"",'[1]Leakage Tree Data'!Q127,"")</f>
      </c>
      <c s="72">
        <f>IF('[1]Leakage Tree Data'!R127&lt;&gt;"",'[1]Leakage Tree Data'!R127,"")</f>
        <v>1017625.85098267</v>
      </c>
      <c s="72">
        <f>IF('[1]Leakage Tree Data'!S127&lt;&gt;"",'[1]Leakage Tree Data'!S127,"")</f>
        <v>127350.116455078</v>
      </c>
      <c s="72">
        <f>IF('[1]Leakage Tree Data'!T127&lt;&gt;"",'[1]Leakage Tree Data'!T127,"")</f>
        <v>0.0996929031949667</v>
      </c>
      <c s="72">
        <f>IF('[1]Leakage Tree Data'!U127&lt;&gt;"",'[1]Leakage Tree Data'!U127,"")</f>
        <v>890275.734527588</v>
      </c>
      <c s="72">
        <f>IF('[1]Leakage Tree Data'!V127&lt;&gt;"",'[1]Leakage Tree Data'!V127,"")</f>
        <v>-0.0996929031949634</v>
      </c>
      <c s="72">
        <f>IF('[1]Leakage Tree Data'!W127&lt;&gt;"",'[1]Leakage Tree Data'!W127,"")</f>
        <v>-1855949.2237854</v>
      </c>
      <c s="72">
        <f>IF('[1]Leakage Tree Data'!X127&lt;&gt;"",'[1]Leakage Tree Data'!X127,"")</f>
      </c>
      <c s="72">
        <f>IF('[1]Leakage Tree Data'!Y127&lt;&gt;"",'[1]Leakage Tree Data'!Y127,"")</f>
      </c>
      <c s="72">
        <f>IF('[1]Leakage Tree Data'!Z127&lt;&gt;"",'[1]Leakage Tree Data'!Z127,"")</f>
      </c>
      <c s="72">
        <f>IF('[1]Leakage Tree Data'!AA127&lt;&gt;"",'[1]Leakage Tree Data'!AA127,"")</f>
      </c>
      <c s="72">
        <f>IF('[1]Leakage Tree Data'!AB127&lt;&gt;"",'[1]Leakage Tree Data'!AB127,"")</f>
      </c>
      <c s="72">
        <f>IF('[1]Leakage Tree Data'!AC127&lt;&gt;"",'[1]Leakage Tree Data'!AC127,"")</f>
      </c>
      <c s="72">
        <f>IF('[1]Leakage Tree Data'!AD127&lt;&gt;"",'[1]Leakage Tree Data'!AD127,"")</f>
        <v>-0.504546757849878</v>
      </c>
      <c s="72">
        <f>IF('[1]Leakage Tree Data'!AE127&lt;&gt;"",'[1]Leakage Tree Data'!AE127,"")</f>
      </c>
      <c s="73">
        <f t="shared" si="28"/>
      </c>
      <c s="73">
        <f t="shared" si="29"/>
      </c>
      <c s="73">
        <f t="shared" si="30"/>
      </c>
      <c s="73">
        <f t="shared" si="31"/>
      </c>
      <c s="74">
        <f t="shared" si="32"/>
      </c>
      <c s="74">
        <f t="shared" si="33"/>
      </c>
      <c s="69" t="str">
        <f t="shared" si="17"/>
        <v>Total US - Meijer.com</v>
      </c>
      <c s="69" t="str">
        <f t="shared" si="18"/>
        <v>Total US - Internet</v>
      </c>
      <c s="77"/>
    </row>
    <row r="229" spans="1:141" s="92" customFormat="1" ht="15">
      <c r="A2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229,$AL$8:$AL$15,1,FALSE))=TRUE,IF(AND(CV229=CW229,CV229&lt;&gt;"",DI$111&lt;&gt;"",DK229&lt;&gt;""),IF(CW$101="Y",DK229-IF(ISERROR(VLOOKUP(CV229,$CA$113:$DK$300,37,FALSE))=TRUE,0,IF(VLOOKUP(CV229,$CA$113:$DK$300,37,FALSE)="",0,VLOOKUP(CV229,$CA$113:$DK$300,37,FALSE))),DK229-IF(AND(CW$102="Y",CV229=$CW$111),DI$111,0)),""),"")</f>
      </c>
      <c s="76">
        <f>IF(ISERROR(VLOOKUP(CV229,$AL$8:$AL$15,1,FALSE))=TRUE,IF(CB229&lt;&gt;"",IF(CB229&gt;0,IF(Z$4&lt;&gt;"",MIN(4,RANK(CB229,$CB$111:$CB$300)),RANK(CB229,$CB$111:$CB$300)),""),""),"")</f>
      </c>
      <c s="75">
        <f>IF(ISERROR(VLOOKUP(CV229,$AL$8:$AL$15,1,FALSE))=TRUE,IF(AND(ISERROR(FIND("NeighMkt",$CX$102))=FALSE,LEFT($CW$111,10)="ALL OUTLET",$CA229&lt;&gt;"",DK229&lt;&gt;""),"",IF(AND($CV229&lt;&gt;$CW229,$CW229=CD$110),$DK229,"")),"")</f>
      </c>
      <c s="76">
        <f>IF(ISERROR(VLOOKUP(CV229,$AL$8:$AL$15,1,FALSE))=TRUE,IF(CD229&lt;&gt;"",IF(CD229&gt;0,RANK(CD229,$CD$111:$CD$300),""),""),"")</f>
      </c>
      <c s="75">
        <f>IF(ISERROR(VLOOKUP(CV229,$AL$8:$AL$15,1,FALSE))=TRUE,IF(AND(ISERROR(FIND("NeighMkt",$CX$102))=FALSE,LEFT($CW$111,10)="ALL OUTLET",$CA229&lt;&gt;"",DK229&lt;&gt;""),"",IF(AND($CV229&lt;&gt;$CW229,$CW229=CF$110),$DK229,"")),"")</f>
      </c>
      <c s="76">
        <f>IF(ISERROR(VLOOKUP(CV229,$AL$8:$AL$15,1,FALSE))=TRUE,IF(CF229&lt;&gt;"",IF(CF229&gt;0,RANK(CF229,$CF$111:$CF$300),""),""),"")</f>
      </c>
      <c s="75">
        <f>IF(ISERROR(VLOOKUP(CV229,$AL$8:$AL$15,1,FALSE))=TRUE,IF(AND(ISERROR(FIND("NeighMkt",$CX$102))=FALSE,LEFT($CW$111,10)="ALL OUTLET",$CA229&lt;&gt;"",DK229&lt;&gt;""),"",IF(AND($CV229&lt;&gt;$CW229,$CW229=CH$110),$DK229,"")),"")</f>
      </c>
      <c s="76">
        <f>IF(ISERROR(VLOOKUP(CV229,$AL$8:$AL$15,1,FALSE))=TRUE,IF(CH229&lt;&gt;"",IF(CH229&gt;0,RANK(CH229,$CH$111:$CH$300),""),""),"")</f>
      </c>
      <c s="75">
        <f>IF(ISERROR(VLOOKUP(CV229,$AL$8:$AL$15,1,FALSE))=TRUE,IF(AND(ISERROR(FIND("NeighMkt",$CX$102))=FALSE,LEFT($CW$111,10)="ALL OUTLET",$CA229&lt;&gt;"",DK229&lt;&gt;""),"",IF($Z$4="",IF(AND($CV229&lt;&gt;$CW229,$CW229=CJ$110),$DK229,""),IF(AND($CV229&lt;&gt;$CW229,$CW229&lt;&gt;CD$110,$CW229&lt;&gt;CF$110,$CW229&lt;&gt;CH$110,$CW229&lt;&gt;$CV$111),$DK229,""))),"")</f>
      </c>
      <c s="76">
        <f>IF(ISERROR(VLOOKUP(CV229,$AL$8:$AL$15,1,FALSE))=TRUE,IF(CJ229&lt;&gt;"",IF(CJ229&gt;0,RANK(CJ229,$CJ$111:$CJ$300),""),""),"")</f>
      </c>
      <c s="75">
        <f>IF(ISERROR(VLOOKUP(CV229,$AL$8:$AL$15,1,FALSE))=TRUE,IF(AND(CV229=CW229,CV229&lt;&gt;"",DJ229&lt;&gt;""),IF(AND(ISERROR(FIND("NeighMkt",$CX$102))=FALSE,LEFT($CW$111,10)="ALL OUTLET"),DJ229-IF(ISERROR(VLOOKUP(CV229,$CA$113:$DK$300,36,FALSE))=TRUE,0,IF(VLOOKUP(CV229,$CA$113:$DK$300,36,FALSE)="",0,VLOOKUP(CV229,$CA$113:$DK$300,36,FALSE))),DJ229),""),"")</f>
      </c>
      <c s="76">
        <f>IF(ISERROR(VLOOKUP(CV229,$AL$8:$AL$15,1,FALSE))=TRUE,IF(CL229&lt;&gt;"",IF(CL229&gt;0,IF($Z$4&lt;&gt;"",MIN(4,RANK(CL229,$CL$111:$CL$300)),RANK(CL229,$CL$111:$CL$300)),""),""),"")</f>
      </c>
      <c s="75">
        <f>IF(ISERROR(VLOOKUP(CV229,$AL$8:$AL$15,1,FALSE))=TRUE,IF(AND(ISERROR(FIND("NeighMkt",$CX$102))=FALSE,LEFT($CW$111,10)="ALL OUTLET",$CA229&lt;&gt;"",DJ229&lt;&gt;""),"",IF(AND($CV229&lt;&gt;$CW229,$CW229=CN$110),$DJ229,"")),"")</f>
      </c>
      <c s="76">
        <f>IF(ISERROR(VLOOKUP(CV229,$AL$8:$AL$15,1,FALSE))=TRUE,IF(CN229&lt;&gt;"",IF(CN229&gt;0,RANK(CN229,$CN$111:$CN$300),""),""),"")</f>
      </c>
      <c s="75">
        <f>IF(ISERROR(VLOOKUP(CV229,$AL$8:$AL$15,1,FALSE))=TRUE,IF(AND(ISERROR(FIND("NeighMkt",$CX$102))=FALSE,LEFT($CW$111,10)="ALL OUTLET",$CA229&lt;&gt;"",DJ229&lt;&gt;""),"",IF(AND($CV229&lt;&gt;$CW229,$CW229=CP$110),$DJ229,"")),"")</f>
      </c>
      <c s="76">
        <f>IF(ISERROR(VLOOKUP(CV229,$AL$8:$AL$15,1,FALSE))=TRUE,IF(CP229&lt;&gt;"",IF(CP229&gt;0,RANK(CP229,$CP$111:$CP$300),""),""),"")</f>
      </c>
      <c s="75">
        <f>IF(ISERROR(VLOOKUP(CV229,$AL$8:$AL$15,1,FALSE))=TRUE,IF(AND(ISERROR(FIND("NeighMkt",$CX$102))=FALSE,LEFT($CW$111,10)="ALL OUTLET",$CA229&lt;&gt;"",DJ229&lt;&gt;""),"",IF(AND($CV229&lt;&gt;$CW229,$CW229=CR$110),$DJ229,"")),"")</f>
      </c>
      <c s="76">
        <f>IF(ISERROR(VLOOKUP(CV229,$AL$8:$AL$15,1,FALSE))=TRUE,IF(CR229&lt;&gt;"",IF(CR229&gt;0,RANK(CR229,$CR$111:$CR$300),""),""),"")</f>
      </c>
      <c s="75">
        <f>IF(ISERROR(VLOOKUP(CV229,$AL$8:$AL$15,1,FALSE))=TRUE,IF(AND(ISERROR(FIND("NeighMkt",$CX$102))=FALSE,LEFT($CW$111,10)="ALL OUTLET",$CA229&lt;&gt;"",DJ229&lt;&gt;""),"",IF($Z$4="",IF(AND($CV229&lt;&gt;$CW229,$CW229=CT$110),$DJ229,""),IF(AND($CV229&lt;&gt;$CW229,$CW229&lt;&gt;CN$110,$CW229&lt;&gt;CP$110,$CW229&lt;&gt;CR$110,$CW229&lt;&gt;$CV$111),$DJ229,""))),"")</f>
      </c>
      <c s="76">
        <f>IF(ISERROR(VLOOKUP(CV229,$AL$8:$AL$15,1,FALSE))=TRUE,IF(CT229&lt;&gt;"",IF(CT229&gt;0,RANK(CT229,$CT$111:$CT$300),""),""),"")</f>
      </c>
      <c s="65" t="str">
        <f t="shared" si="19"/>
        <v>Officedepot.com</v>
      </c>
      <c s="65" t="str">
        <f t="shared" si="20"/>
        <v>Internet</v>
      </c>
      <c s="72" t="str">
        <f>IF('[1]Leakage Tree Data'!A128&lt;&gt;"",'[1]Leakage Tree Data'!A128,"")</f>
        <v>Total US - Officedepot.com</v>
      </c>
      <c s="72" t="str">
        <f>IF('[1]Leakage Tree Data'!B128&lt;&gt;"",'[1]Leakage Tree Data'!B128,"")</f>
        <v>Total US - Internet</v>
      </c>
      <c s="72">
        <f>IF('[1]Leakage Tree Data'!C128&lt;&gt;"",'[1]Leakage Tree Data'!C128,"")</f>
        <v>121171760.292236</v>
      </c>
      <c s="72">
        <f>IF('[1]Leakage Tree Data'!D128&lt;&gt;"",'[1]Leakage Tree Data'!D128,"")</f>
        <v>767893.266235352</v>
      </c>
      <c s="72">
        <f>IF('[1]Leakage Tree Data'!E128&lt;&gt;"",'[1]Leakage Tree Data'!E128,"")</f>
        <v>0.633722960187574</v>
      </c>
      <c s="72">
        <f>IF('[1]Leakage Tree Data'!F128&lt;&gt;"",'[1]Leakage Tree Data'!F128,"")</f>
        <v>120403867.026001</v>
      </c>
      <c s="72">
        <f>IF('[1]Leakage Tree Data'!G128&lt;&gt;"",'[1]Leakage Tree Data'!G128,"")</f>
        <v>99.3662770398124</v>
      </c>
      <c s="72">
        <f>IF('[1]Leakage Tree Data'!H128&lt;&gt;"",'[1]Leakage Tree Data'!H128,"")</f>
        <v>61518209.9918823</v>
      </c>
      <c s="72" t="str">
        <f>IF('[1]Leakage Tree Data'!I128&lt;&gt;"",'[1]Leakage Tree Data'!I128,"")</f>
        <v>Internet</v>
      </c>
      <c s="72">
        <f>IF('[1]Leakage Tree Data'!J128&lt;&gt;"",'[1]Leakage Tree Data'!J128,"")</f>
      </c>
      <c s="72">
        <f>IF('[1]Leakage Tree Data'!K128&lt;&gt;"",'[1]Leakage Tree Data'!K128,"")</f>
      </c>
      <c s="72">
        <f>IF('[1]Leakage Tree Data'!L128&lt;&gt;"",'[1]Leakage Tree Data'!L128,"")</f>
      </c>
      <c s="72">
        <f>IF('[1]Leakage Tree Data'!M128&lt;&gt;"",'[1]Leakage Tree Data'!M128,"")</f>
      </c>
      <c s="72">
        <f>IF('[1]Leakage Tree Data'!N128&lt;&gt;"",'[1]Leakage Tree Data'!N128,"")</f>
      </c>
      <c s="72">
        <f>IF('[1]Leakage Tree Data'!O128&lt;&gt;"",'[1]Leakage Tree Data'!O128,"")</f>
      </c>
      <c s="72">
        <f>IF('[1]Leakage Tree Data'!P128&lt;&gt;"",'[1]Leakage Tree Data'!P128,"")</f>
      </c>
      <c s="72">
        <f>IF('[1]Leakage Tree Data'!Q128&lt;&gt;"",'[1]Leakage Tree Data'!Q128,"")</f>
      </c>
      <c s="72">
        <f>IF('[1]Leakage Tree Data'!R128&lt;&gt;"",'[1]Leakage Tree Data'!R128,"")</f>
        <v>1017625.85098267</v>
      </c>
      <c s="72">
        <f>IF('[1]Leakage Tree Data'!S128&lt;&gt;"",'[1]Leakage Tree Data'!S128,"")</f>
        <v>9353.68124389648</v>
      </c>
      <c s="72">
        <f>IF('[1]Leakage Tree Data'!T128&lt;&gt;"",'[1]Leakage Tree Data'!T128,"")</f>
        <v>0.00241752195288414</v>
      </c>
      <c s="72">
        <f>IF('[1]Leakage Tree Data'!U128&lt;&gt;"",'[1]Leakage Tree Data'!U128,"")</f>
        <v>1008272.16973877</v>
      </c>
      <c s="72">
        <f>IF('[1]Leakage Tree Data'!V128&lt;&gt;"",'[1]Leakage Tree Data'!V128,"")</f>
        <v>-0.00241752195287859</v>
      </c>
      <c s="72">
        <f>IF('[1]Leakage Tree Data'!W128&lt;&gt;"",'[1]Leakage Tree Data'!W128,"")</f>
        <v>-1855949.2237854</v>
      </c>
      <c s="72">
        <f>IF('[1]Leakage Tree Data'!X128&lt;&gt;"",'[1]Leakage Tree Data'!X128,"")</f>
      </c>
      <c s="72">
        <f>IF('[1]Leakage Tree Data'!Y128&lt;&gt;"",'[1]Leakage Tree Data'!Y128,"")</f>
      </c>
      <c s="72">
        <f>IF('[1]Leakage Tree Data'!Z128&lt;&gt;"",'[1]Leakage Tree Data'!Z128,"")</f>
      </c>
      <c s="72">
        <f>IF('[1]Leakage Tree Data'!AA128&lt;&gt;"",'[1]Leakage Tree Data'!AA128,"")</f>
      </c>
      <c s="72">
        <f>IF('[1]Leakage Tree Data'!AB128&lt;&gt;"",'[1]Leakage Tree Data'!AB128,"")</f>
      </c>
      <c s="72">
        <f>IF('[1]Leakage Tree Data'!AC128&lt;&gt;"",'[1]Leakage Tree Data'!AC128,"")</f>
      </c>
      <c s="72">
        <f>IF('[1]Leakage Tree Data'!AD128&lt;&gt;"",'[1]Leakage Tree Data'!AD128,"")</f>
      </c>
      <c s="72">
        <f>IF('[1]Leakage Tree Data'!AE128&lt;&gt;"",'[1]Leakage Tree Data'!AE128,"")</f>
      </c>
      <c s="73">
        <f t="shared" si="28"/>
      </c>
      <c s="73">
        <f t="shared" si="29"/>
      </c>
      <c s="73">
        <f t="shared" si="30"/>
      </c>
      <c s="73">
        <f t="shared" si="31"/>
      </c>
      <c s="74">
        <f t="shared" si="32"/>
      </c>
      <c s="74">
        <f t="shared" si="33"/>
      </c>
      <c s="69" t="str">
        <f t="shared" si="17"/>
        <v>Total US - Officedepot.com</v>
      </c>
      <c s="69" t="str">
        <f t="shared" si="18"/>
        <v>Total US - Internet</v>
      </c>
      <c s="77"/>
    </row>
    <row r="230" spans="1:141" s="92" customFormat="1" ht="15">
      <c r="A2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230,$AL$8:$AL$15,1,FALSE))=TRUE,IF(AND(CV230=CW230,CV230&lt;&gt;"",DI$111&lt;&gt;"",DK230&lt;&gt;""),IF(CW$101="Y",DK230-IF(ISERROR(VLOOKUP(CV230,$CA$113:$DK$300,37,FALSE))=TRUE,0,IF(VLOOKUP(CV230,$CA$113:$DK$300,37,FALSE)="",0,VLOOKUP(CV230,$CA$113:$DK$300,37,FALSE))),DK230-IF(AND(CW$102="Y",CV230=$CW$111),DI$111,0)),""),"")</f>
      </c>
      <c s="76">
        <f>IF(ISERROR(VLOOKUP(CV230,$AL$8:$AL$15,1,FALSE))=TRUE,IF(CB230&lt;&gt;"",IF(CB230&gt;0,IF(Z$4&lt;&gt;"",MIN(4,RANK(CB230,$CB$111:$CB$300)),RANK(CB230,$CB$111:$CB$300)),""),""),"")</f>
      </c>
      <c s="75">
        <f>IF(ISERROR(VLOOKUP(CV230,$AL$8:$AL$15,1,FALSE))=TRUE,IF(AND(ISERROR(FIND("NeighMkt",$CX$102))=FALSE,LEFT($CW$111,10)="ALL OUTLET",$CA230&lt;&gt;"",DK230&lt;&gt;""),"",IF(AND($CV230&lt;&gt;$CW230,$CW230=CD$110),$DK230,"")),"")</f>
      </c>
      <c s="76">
        <f>IF(ISERROR(VLOOKUP(CV230,$AL$8:$AL$15,1,FALSE))=TRUE,IF(CD230&lt;&gt;"",IF(CD230&gt;0,RANK(CD230,$CD$111:$CD$300),""),""),"")</f>
      </c>
      <c s="75">
        <f>IF(ISERROR(VLOOKUP(CV230,$AL$8:$AL$15,1,FALSE))=TRUE,IF(AND(ISERROR(FIND("NeighMkt",$CX$102))=FALSE,LEFT($CW$111,10)="ALL OUTLET",$CA230&lt;&gt;"",DK230&lt;&gt;""),"",IF(AND($CV230&lt;&gt;$CW230,$CW230=CF$110),$DK230,"")),"")</f>
      </c>
      <c s="76">
        <f>IF(ISERROR(VLOOKUP(CV230,$AL$8:$AL$15,1,FALSE))=TRUE,IF(CF230&lt;&gt;"",IF(CF230&gt;0,RANK(CF230,$CF$111:$CF$300),""),""),"")</f>
      </c>
      <c s="75">
        <f>IF(ISERROR(VLOOKUP(CV230,$AL$8:$AL$15,1,FALSE))=TRUE,IF(AND(ISERROR(FIND("NeighMkt",$CX$102))=FALSE,LEFT($CW$111,10)="ALL OUTLET",$CA230&lt;&gt;"",DK230&lt;&gt;""),"",IF(AND($CV230&lt;&gt;$CW230,$CW230=CH$110),$DK230,"")),"")</f>
      </c>
      <c s="76">
        <f>IF(ISERROR(VLOOKUP(CV230,$AL$8:$AL$15,1,FALSE))=TRUE,IF(CH230&lt;&gt;"",IF(CH230&gt;0,RANK(CH230,$CH$111:$CH$300),""),""),"")</f>
      </c>
      <c s="75">
        <f>IF(ISERROR(VLOOKUP(CV230,$AL$8:$AL$15,1,FALSE))=TRUE,IF(AND(ISERROR(FIND("NeighMkt",$CX$102))=FALSE,LEFT($CW$111,10)="ALL OUTLET",$CA230&lt;&gt;"",DK230&lt;&gt;""),"",IF($Z$4="",IF(AND($CV230&lt;&gt;$CW230,$CW230=CJ$110),$DK230,""),IF(AND($CV230&lt;&gt;$CW230,$CW230&lt;&gt;CD$110,$CW230&lt;&gt;CF$110,$CW230&lt;&gt;CH$110,$CW230&lt;&gt;$CV$111),$DK230,""))),"")</f>
      </c>
      <c s="76">
        <f>IF(ISERROR(VLOOKUP(CV230,$AL$8:$AL$15,1,FALSE))=TRUE,IF(CJ230&lt;&gt;"",IF(CJ230&gt;0,RANK(CJ230,$CJ$111:$CJ$300),""),""),"")</f>
      </c>
      <c s="75">
        <f>IF(ISERROR(VLOOKUP(CV230,$AL$8:$AL$15,1,FALSE))=TRUE,IF(AND(CV230=CW230,CV230&lt;&gt;"",DJ230&lt;&gt;""),IF(AND(ISERROR(FIND("NeighMkt",$CX$102))=FALSE,LEFT($CW$111,10)="ALL OUTLET"),DJ230-IF(ISERROR(VLOOKUP(CV230,$CA$113:$DK$300,36,FALSE))=TRUE,0,IF(VLOOKUP(CV230,$CA$113:$DK$300,36,FALSE)="",0,VLOOKUP(CV230,$CA$113:$DK$300,36,FALSE))),DJ230),""),"")</f>
      </c>
      <c s="76">
        <f>IF(ISERROR(VLOOKUP(CV230,$AL$8:$AL$15,1,FALSE))=TRUE,IF(CL230&lt;&gt;"",IF(CL230&gt;0,IF($Z$4&lt;&gt;"",MIN(4,RANK(CL230,$CL$111:$CL$300)),RANK(CL230,$CL$111:$CL$300)),""),""),"")</f>
      </c>
      <c s="75">
        <f>IF(ISERROR(VLOOKUP(CV230,$AL$8:$AL$15,1,FALSE))=TRUE,IF(AND(ISERROR(FIND("NeighMkt",$CX$102))=FALSE,LEFT($CW$111,10)="ALL OUTLET",$CA230&lt;&gt;"",DJ230&lt;&gt;""),"",IF(AND($CV230&lt;&gt;$CW230,$CW230=CN$110),$DJ230,"")),"")</f>
      </c>
      <c s="76">
        <f>IF(ISERROR(VLOOKUP(CV230,$AL$8:$AL$15,1,FALSE))=TRUE,IF(CN230&lt;&gt;"",IF(CN230&gt;0,RANK(CN230,$CN$111:$CN$300),""),""),"")</f>
      </c>
      <c s="75">
        <f>IF(ISERROR(VLOOKUP(CV230,$AL$8:$AL$15,1,FALSE))=TRUE,IF(AND(ISERROR(FIND("NeighMkt",$CX$102))=FALSE,LEFT($CW$111,10)="ALL OUTLET",$CA230&lt;&gt;"",DJ230&lt;&gt;""),"",IF(AND($CV230&lt;&gt;$CW230,$CW230=CP$110),$DJ230,"")),"")</f>
      </c>
      <c s="76">
        <f>IF(ISERROR(VLOOKUP(CV230,$AL$8:$AL$15,1,FALSE))=TRUE,IF(CP230&lt;&gt;"",IF(CP230&gt;0,RANK(CP230,$CP$111:$CP$300),""),""),"")</f>
      </c>
      <c s="75">
        <f>IF(ISERROR(VLOOKUP(CV230,$AL$8:$AL$15,1,FALSE))=TRUE,IF(AND(ISERROR(FIND("NeighMkt",$CX$102))=FALSE,LEFT($CW$111,10)="ALL OUTLET",$CA230&lt;&gt;"",DJ230&lt;&gt;""),"",IF(AND($CV230&lt;&gt;$CW230,$CW230=CR$110),$DJ230,"")),"")</f>
      </c>
      <c s="76">
        <f>IF(ISERROR(VLOOKUP(CV230,$AL$8:$AL$15,1,FALSE))=TRUE,IF(CR230&lt;&gt;"",IF(CR230&gt;0,RANK(CR230,$CR$111:$CR$300),""),""),"")</f>
      </c>
      <c s="75">
        <f>IF(ISERROR(VLOOKUP(CV230,$AL$8:$AL$15,1,FALSE))=TRUE,IF(AND(ISERROR(FIND("NeighMkt",$CX$102))=FALSE,LEFT($CW$111,10)="ALL OUTLET",$CA230&lt;&gt;"",DJ230&lt;&gt;""),"",IF($Z$4="",IF(AND($CV230&lt;&gt;$CW230,$CW230=CT$110),$DJ230,""),IF(AND($CV230&lt;&gt;$CW230,$CW230&lt;&gt;CN$110,$CW230&lt;&gt;CP$110,$CW230&lt;&gt;CR$110,$CW230&lt;&gt;$CV$111),$DJ230,""))),"")</f>
      </c>
      <c s="76">
        <f>IF(ISERROR(VLOOKUP(CV230,$AL$8:$AL$15,1,FALSE))=TRUE,IF(CT230&lt;&gt;"",IF(CT230&gt;0,RANK(CT230,$CT$111:$CT$300),""),""),"")</f>
      </c>
      <c s="65" t="str">
        <f t="shared" si="19"/>
        <v>Peapod.com</v>
      </c>
      <c s="65" t="str">
        <f t="shared" si="20"/>
        <v>Internet</v>
      </c>
      <c s="72" t="str">
        <f>IF('[1]Leakage Tree Data'!A129&lt;&gt;"",'[1]Leakage Tree Data'!A129,"")</f>
        <v>Total US - Peapod.com</v>
      </c>
      <c s="72" t="str">
        <f>IF('[1]Leakage Tree Data'!B129&lt;&gt;"",'[1]Leakage Tree Data'!B129,"")</f>
        <v>Total US - Internet</v>
      </c>
      <c s="72">
        <f>IF('[1]Leakage Tree Data'!C129&lt;&gt;"",'[1]Leakage Tree Data'!C129,"")</f>
        <v>121171760.292236</v>
      </c>
      <c s="72">
        <f>IF('[1]Leakage Tree Data'!D129&lt;&gt;"",'[1]Leakage Tree Data'!D129,"")</f>
        <v>340113.184143066</v>
      </c>
      <c s="72">
        <f>IF('[1]Leakage Tree Data'!E129&lt;&gt;"",'[1]Leakage Tree Data'!E129,"")</f>
        <v>0.280686839345073</v>
      </c>
      <c s="72">
        <f>IF('[1]Leakage Tree Data'!F129&lt;&gt;"",'[1]Leakage Tree Data'!F129,"")</f>
        <v>120831647.108093</v>
      </c>
      <c s="72">
        <f>IF('[1]Leakage Tree Data'!G129&lt;&gt;"",'[1]Leakage Tree Data'!G129,"")</f>
        <v>99.7193131606549</v>
      </c>
      <c s="72">
        <f>IF('[1]Leakage Tree Data'!H129&lt;&gt;"",'[1]Leakage Tree Data'!H129,"")</f>
        <v>61518209.9918823</v>
      </c>
      <c s="72" t="str">
        <f>IF('[1]Leakage Tree Data'!I129&lt;&gt;"",'[1]Leakage Tree Data'!I129,"")</f>
        <v>Internet</v>
      </c>
      <c s="72">
        <f>IF('[1]Leakage Tree Data'!J129&lt;&gt;"",'[1]Leakage Tree Data'!J129,"")</f>
      </c>
      <c s="72">
        <f>IF('[1]Leakage Tree Data'!K129&lt;&gt;"",'[1]Leakage Tree Data'!K129,"")</f>
      </c>
      <c s="72">
        <f>IF('[1]Leakage Tree Data'!L129&lt;&gt;"",'[1]Leakage Tree Data'!L129,"")</f>
      </c>
      <c s="72">
        <f>IF('[1]Leakage Tree Data'!M129&lt;&gt;"",'[1]Leakage Tree Data'!M129,"")</f>
      </c>
      <c s="72">
        <f>IF('[1]Leakage Tree Data'!N129&lt;&gt;"",'[1]Leakage Tree Data'!N129,"")</f>
      </c>
      <c s="72">
        <f>IF('[1]Leakage Tree Data'!O129&lt;&gt;"",'[1]Leakage Tree Data'!O129,"")</f>
      </c>
      <c s="72">
        <f>IF('[1]Leakage Tree Data'!P129&lt;&gt;"",'[1]Leakage Tree Data'!P129,"")</f>
      </c>
      <c s="72">
        <f>IF('[1]Leakage Tree Data'!Q129&lt;&gt;"",'[1]Leakage Tree Data'!Q129,"")</f>
      </c>
      <c s="72">
        <f>IF('[1]Leakage Tree Data'!R129&lt;&gt;"",'[1]Leakage Tree Data'!R129,"")</f>
        <v>1017625.85098267</v>
      </c>
      <c s="72">
        <f>IF('[1]Leakage Tree Data'!S129&lt;&gt;"",'[1]Leakage Tree Data'!S129,"")</f>
        <v>-43033.837890625</v>
      </c>
      <c s="72">
        <f>IF('[1]Leakage Tree Data'!T129&lt;&gt;"",'[1]Leakage Tree Data'!T129,"")</f>
        <v>-0.0381927596095692</v>
      </c>
      <c s="72">
        <f>IF('[1]Leakage Tree Data'!U129&lt;&gt;"",'[1]Leakage Tree Data'!U129,"")</f>
        <v>1060659.68887329</v>
      </c>
      <c s="72">
        <f>IF('[1]Leakage Tree Data'!V129&lt;&gt;"",'[1]Leakage Tree Data'!V129,"")</f>
        <v>0.0381927596095579</v>
      </c>
      <c s="72">
        <f>IF('[1]Leakage Tree Data'!W129&lt;&gt;"",'[1]Leakage Tree Data'!W129,"")</f>
        <v>-1855949.2237854</v>
      </c>
      <c s="72">
        <f>IF('[1]Leakage Tree Data'!X129&lt;&gt;"",'[1]Leakage Tree Data'!X129,"")</f>
      </c>
      <c s="72">
        <f>IF('[1]Leakage Tree Data'!Y129&lt;&gt;"",'[1]Leakage Tree Data'!Y129,"")</f>
      </c>
      <c s="72">
        <f>IF('[1]Leakage Tree Data'!Z129&lt;&gt;"",'[1]Leakage Tree Data'!Z129,"")</f>
      </c>
      <c s="72">
        <f>IF('[1]Leakage Tree Data'!AA129&lt;&gt;"",'[1]Leakage Tree Data'!AA129,"")</f>
      </c>
      <c s="72">
        <f>IF('[1]Leakage Tree Data'!AB129&lt;&gt;"",'[1]Leakage Tree Data'!AB129,"")</f>
      </c>
      <c s="72">
        <f>IF('[1]Leakage Tree Data'!AC129&lt;&gt;"",'[1]Leakage Tree Data'!AC129,"")</f>
      </c>
      <c s="72">
        <f>IF('[1]Leakage Tree Data'!AD129&lt;&gt;"",'[1]Leakage Tree Data'!AD129,"")</f>
      </c>
      <c s="72">
        <f>IF('[1]Leakage Tree Data'!AE129&lt;&gt;"",'[1]Leakage Tree Data'!AE129,"")</f>
      </c>
      <c s="73">
        <f t="shared" si="28"/>
      </c>
      <c s="73">
        <f t="shared" si="29"/>
      </c>
      <c s="73">
        <f t="shared" si="30"/>
      </c>
      <c s="73">
        <f t="shared" si="31"/>
      </c>
      <c s="74">
        <f t="shared" si="32"/>
      </c>
      <c s="74">
        <f t="shared" si="33"/>
      </c>
      <c s="69" t="str">
        <f t="shared" si="17"/>
        <v>Total US - Peapod.com</v>
      </c>
      <c s="69" t="str">
        <f t="shared" si="18"/>
        <v>Total US - Internet</v>
      </c>
      <c s="77"/>
    </row>
    <row r="231" spans="1:141" s="92" customFormat="1" ht="15">
      <c r="A2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231,$AL$8:$AL$15,1,FALSE))=TRUE,IF(AND(CV231=CW231,CV231&lt;&gt;"",DI$111&lt;&gt;"",DK231&lt;&gt;""),IF(CW$101="Y",DK231-IF(ISERROR(VLOOKUP(CV231,$CA$113:$DK$300,37,FALSE))=TRUE,0,IF(VLOOKUP(CV231,$CA$113:$DK$300,37,FALSE)="",0,VLOOKUP(CV231,$CA$113:$DK$300,37,FALSE))),DK231-IF(AND(CW$102="Y",CV231=$CW$111),DI$111,0)),""),"")</f>
      </c>
      <c s="76">
        <f>IF(ISERROR(VLOOKUP(CV231,$AL$8:$AL$15,1,FALSE))=TRUE,IF(CB231&lt;&gt;"",IF(CB231&gt;0,IF(Z$4&lt;&gt;"",MIN(4,RANK(CB231,$CB$111:$CB$300)),RANK(CB231,$CB$111:$CB$300)),""),""),"")</f>
      </c>
      <c s="75">
        <f>IF(ISERROR(VLOOKUP(CV231,$AL$8:$AL$15,1,FALSE))=TRUE,IF(AND(ISERROR(FIND("NeighMkt",$CX$102))=FALSE,LEFT($CW$111,10)="ALL OUTLET",$CA231&lt;&gt;"",DK231&lt;&gt;""),"",IF(AND($CV231&lt;&gt;$CW231,$CW231=CD$110),$DK231,"")),"")</f>
      </c>
      <c s="76">
        <f>IF(ISERROR(VLOOKUP(CV231,$AL$8:$AL$15,1,FALSE))=TRUE,IF(CD231&lt;&gt;"",IF(CD231&gt;0,RANK(CD231,$CD$111:$CD$300),""),""),"")</f>
      </c>
      <c s="75">
        <f>IF(ISERROR(VLOOKUP(CV231,$AL$8:$AL$15,1,FALSE))=TRUE,IF(AND(ISERROR(FIND("NeighMkt",$CX$102))=FALSE,LEFT($CW$111,10)="ALL OUTLET",$CA231&lt;&gt;"",DK231&lt;&gt;""),"",IF(AND($CV231&lt;&gt;$CW231,$CW231=CF$110),$DK231,"")),"")</f>
      </c>
      <c s="76">
        <f>IF(ISERROR(VLOOKUP(CV231,$AL$8:$AL$15,1,FALSE))=TRUE,IF(CF231&lt;&gt;"",IF(CF231&gt;0,RANK(CF231,$CF$111:$CF$300),""),""),"")</f>
      </c>
      <c s="75">
        <f>IF(ISERROR(VLOOKUP(CV231,$AL$8:$AL$15,1,FALSE))=TRUE,IF(AND(ISERROR(FIND("NeighMkt",$CX$102))=FALSE,LEFT($CW$111,10)="ALL OUTLET",$CA231&lt;&gt;"",DK231&lt;&gt;""),"",IF(AND($CV231&lt;&gt;$CW231,$CW231=CH$110),$DK231,"")),"")</f>
      </c>
      <c s="76">
        <f>IF(ISERROR(VLOOKUP(CV231,$AL$8:$AL$15,1,FALSE))=TRUE,IF(CH231&lt;&gt;"",IF(CH231&gt;0,RANK(CH231,$CH$111:$CH$300),""),""),"")</f>
      </c>
      <c s="75">
        <f>IF(ISERROR(VLOOKUP(CV231,$AL$8:$AL$15,1,FALSE))=TRUE,IF(AND(ISERROR(FIND("NeighMkt",$CX$102))=FALSE,LEFT($CW$111,10)="ALL OUTLET",$CA231&lt;&gt;"",DK231&lt;&gt;""),"",IF($Z$4="",IF(AND($CV231&lt;&gt;$CW231,$CW231=CJ$110),$DK231,""),IF(AND($CV231&lt;&gt;$CW231,$CW231&lt;&gt;CD$110,$CW231&lt;&gt;CF$110,$CW231&lt;&gt;CH$110,$CW231&lt;&gt;$CV$111),$DK231,""))),"")</f>
      </c>
      <c s="76">
        <f>IF(ISERROR(VLOOKUP(CV231,$AL$8:$AL$15,1,FALSE))=TRUE,IF(CJ231&lt;&gt;"",IF(CJ231&gt;0,RANK(CJ231,$CJ$111:$CJ$300),""),""),"")</f>
      </c>
      <c s="75">
        <f>IF(ISERROR(VLOOKUP(CV231,$AL$8:$AL$15,1,FALSE))=TRUE,IF(AND(CV231=CW231,CV231&lt;&gt;"",DJ231&lt;&gt;""),IF(AND(ISERROR(FIND("NeighMkt",$CX$102))=FALSE,LEFT($CW$111,10)="ALL OUTLET"),DJ231-IF(ISERROR(VLOOKUP(CV231,$CA$113:$DK$300,36,FALSE))=TRUE,0,IF(VLOOKUP(CV231,$CA$113:$DK$300,36,FALSE)="",0,VLOOKUP(CV231,$CA$113:$DK$300,36,FALSE))),DJ231),""),"")</f>
      </c>
      <c s="76">
        <f>IF(ISERROR(VLOOKUP(CV231,$AL$8:$AL$15,1,FALSE))=TRUE,IF(CL231&lt;&gt;"",IF(CL231&gt;0,IF($Z$4&lt;&gt;"",MIN(4,RANK(CL231,$CL$111:$CL$300)),RANK(CL231,$CL$111:$CL$300)),""),""),"")</f>
      </c>
      <c s="75">
        <f>IF(ISERROR(VLOOKUP(CV231,$AL$8:$AL$15,1,FALSE))=TRUE,IF(AND(ISERROR(FIND("NeighMkt",$CX$102))=FALSE,LEFT($CW$111,10)="ALL OUTLET",$CA231&lt;&gt;"",DJ231&lt;&gt;""),"",IF(AND($CV231&lt;&gt;$CW231,$CW231=CN$110),$DJ231,"")),"")</f>
      </c>
      <c s="76">
        <f>IF(ISERROR(VLOOKUP(CV231,$AL$8:$AL$15,1,FALSE))=TRUE,IF(CN231&lt;&gt;"",IF(CN231&gt;0,RANK(CN231,$CN$111:$CN$300),""),""),"")</f>
      </c>
      <c s="75">
        <f>IF(ISERROR(VLOOKUP(CV231,$AL$8:$AL$15,1,FALSE))=TRUE,IF(AND(ISERROR(FIND("NeighMkt",$CX$102))=FALSE,LEFT($CW$111,10)="ALL OUTLET",$CA231&lt;&gt;"",DJ231&lt;&gt;""),"",IF(AND($CV231&lt;&gt;$CW231,$CW231=CP$110),$DJ231,"")),"")</f>
      </c>
      <c s="76">
        <f>IF(ISERROR(VLOOKUP(CV231,$AL$8:$AL$15,1,FALSE))=TRUE,IF(CP231&lt;&gt;"",IF(CP231&gt;0,RANK(CP231,$CP$111:$CP$300),""),""),"")</f>
      </c>
      <c s="75">
        <f>IF(ISERROR(VLOOKUP(CV231,$AL$8:$AL$15,1,FALSE))=TRUE,IF(AND(ISERROR(FIND("NeighMkt",$CX$102))=FALSE,LEFT($CW$111,10)="ALL OUTLET",$CA231&lt;&gt;"",DJ231&lt;&gt;""),"",IF(AND($CV231&lt;&gt;$CW231,$CW231=CR$110),$DJ231,"")),"")</f>
      </c>
      <c s="76">
        <f>IF(ISERROR(VLOOKUP(CV231,$AL$8:$AL$15,1,FALSE))=TRUE,IF(CR231&lt;&gt;"",IF(CR231&gt;0,RANK(CR231,$CR$111:$CR$300),""),""),"")</f>
      </c>
      <c s="75">
        <f>IF(ISERROR(VLOOKUP(CV231,$AL$8:$AL$15,1,FALSE))=TRUE,IF(AND(ISERROR(FIND("NeighMkt",$CX$102))=FALSE,LEFT($CW$111,10)="ALL OUTLET",$CA231&lt;&gt;"",DJ231&lt;&gt;""),"",IF($Z$4="",IF(AND($CV231&lt;&gt;$CW231,$CW231=CT$110),$DJ231,""),IF(AND($CV231&lt;&gt;$CW231,$CW231&lt;&gt;CN$110,$CW231&lt;&gt;CP$110,$CW231&lt;&gt;CR$110,$CW231&lt;&gt;$CV$111),$DJ231,""))),"")</f>
      </c>
      <c s="76">
        <f>IF(ISERROR(VLOOKUP(CV231,$AL$8:$AL$15,1,FALSE))=TRUE,IF(CT231&lt;&gt;"",IF(CT231&gt;0,RANK(CT231,$CT$111:$CT$300),""),""),"")</f>
      </c>
      <c s="65" t="str">
        <f t="shared" si="19"/>
        <v>Petco.com</v>
      </c>
      <c s="65" t="str">
        <f t="shared" si="20"/>
        <v>Internet</v>
      </c>
      <c s="72" t="str">
        <f>IF('[1]Leakage Tree Data'!A130&lt;&gt;"",'[1]Leakage Tree Data'!A130,"")</f>
        <v>Total US - Petco.com</v>
      </c>
      <c s="72" t="str">
        <f>IF('[1]Leakage Tree Data'!B130&lt;&gt;"",'[1]Leakage Tree Data'!B130,"")</f>
        <v>Total US - Internet</v>
      </c>
      <c s="72">
        <f>IF('[1]Leakage Tree Data'!C130&lt;&gt;"",'[1]Leakage Tree Data'!C130,"")</f>
        <v>121171760.292236</v>
      </c>
      <c s="72">
        <f>IF('[1]Leakage Tree Data'!D130&lt;&gt;"",'[1]Leakage Tree Data'!D130,"")</f>
        <v>700358.380493164</v>
      </c>
      <c s="72">
        <f>IF('[1]Leakage Tree Data'!E130&lt;&gt;"",'[1]Leakage Tree Data'!E130,"")</f>
        <v>0.57798812099789</v>
      </c>
      <c s="72">
        <f>IF('[1]Leakage Tree Data'!F130&lt;&gt;"",'[1]Leakage Tree Data'!F130,"")</f>
        <v>120471401.911743</v>
      </c>
      <c s="72">
        <f>IF('[1]Leakage Tree Data'!G130&lt;&gt;"",'[1]Leakage Tree Data'!G130,"")</f>
        <v>99.4220118790021</v>
      </c>
      <c s="72">
        <f>IF('[1]Leakage Tree Data'!H130&lt;&gt;"",'[1]Leakage Tree Data'!H130,"")</f>
        <v>61518209.9918823</v>
      </c>
      <c s="72" t="str">
        <f>IF('[1]Leakage Tree Data'!I130&lt;&gt;"",'[1]Leakage Tree Data'!I130,"")</f>
        <v>Internet</v>
      </c>
      <c s="72">
        <f>IF('[1]Leakage Tree Data'!J130&lt;&gt;"",'[1]Leakage Tree Data'!J130,"")</f>
      </c>
      <c s="72">
        <f>IF('[1]Leakage Tree Data'!K130&lt;&gt;"",'[1]Leakage Tree Data'!K130,"")</f>
      </c>
      <c s="72">
        <f>IF('[1]Leakage Tree Data'!L130&lt;&gt;"",'[1]Leakage Tree Data'!L130,"")</f>
      </c>
      <c s="72">
        <f>IF('[1]Leakage Tree Data'!M130&lt;&gt;"",'[1]Leakage Tree Data'!M130,"")</f>
      </c>
      <c s="72">
        <f>IF('[1]Leakage Tree Data'!N130&lt;&gt;"",'[1]Leakage Tree Data'!N130,"")</f>
      </c>
      <c s="72">
        <f>IF('[1]Leakage Tree Data'!O130&lt;&gt;"",'[1]Leakage Tree Data'!O130,"")</f>
      </c>
      <c s="72">
        <f>IF('[1]Leakage Tree Data'!P130&lt;&gt;"",'[1]Leakage Tree Data'!P130,"")</f>
      </c>
      <c s="72">
        <f>IF('[1]Leakage Tree Data'!Q130&lt;&gt;"",'[1]Leakage Tree Data'!Q130,"")</f>
      </c>
      <c s="72">
        <f>IF('[1]Leakage Tree Data'!R130&lt;&gt;"",'[1]Leakage Tree Data'!R130,"")</f>
        <v>1017625.85098267</v>
      </c>
      <c s="72">
        <f>IF('[1]Leakage Tree Data'!S130&lt;&gt;"",'[1]Leakage Tree Data'!S130,"")</f>
        <v>-35027.3096923828</v>
      </c>
      <c s="72">
        <f>IF('[1]Leakage Tree Data'!T130&lt;&gt;"",'[1]Leakage Tree Data'!T130,"")</f>
        <v>-0.034047156527325</v>
      </c>
      <c s="72">
        <f>IF('[1]Leakage Tree Data'!U130&lt;&gt;"",'[1]Leakage Tree Data'!U130,"")</f>
        <v>1052653.16067505</v>
      </c>
      <c s="72">
        <f>IF('[1]Leakage Tree Data'!V130&lt;&gt;"",'[1]Leakage Tree Data'!V130,"")</f>
        <v>0.0340471565273219</v>
      </c>
      <c s="72">
        <f>IF('[1]Leakage Tree Data'!W130&lt;&gt;"",'[1]Leakage Tree Data'!W130,"")</f>
        <v>-1855949.2237854</v>
      </c>
      <c s="72">
        <f>IF('[1]Leakage Tree Data'!X130&lt;&gt;"",'[1]Leakage Tree Data'!X130,"")</f>
      </c>
      <c s="72">
        <f>IF('[1]Leakage Tree Data'!Y130&lt;&gt;"",'[1]Leakage Tree Data'!Y130,"")</f>
      </c>
      <c s="72">
        <f>IF('[1]Leakage Tree Data'!Z130&lt;&gt;"",'[1]Leakage Tree Data'!Z130,"")</f>
      </c>
      <c s="72">
        <f>IF('[1]Leakage Tree Data'!AA130&lt;&gt;"",'[1]Leakage Tree Data'!AA130,"")</f>
      </c>
      <c s="72">
        <f>IF('[1]Leakage Tree Data'!AB130&lt;&gt;"",'[1]Leakage Tree Data'!AB130,"")</f>
      </c>
      <c s="72">
        <f>IF('[1]Leakage Tree Data'!AC130&lt;&gt;"",'[1]Leakage Tree Data'!AC130,"")</f>
      </c>
      <c s="72">
        <f>IF('[1]Leakage Tree Data'!AD130&lt;&gt;"",'[1]Leakage Tree Data'!AD130,"")</f>
      </c>
      <c s="72">
        <f>IF('[1]Leakage Tree Data'!AE130&lt;&gt;"",'[1]Leakage Tree Data'!AE130,"")</f>
      </c>
      <c s="73">
        <f t="shared" si="28"/>
      </c>
      <c s="73">
        <f t="shared" si="29"/>
      </c>
      <c s="73">
        <f t="shared" si="30"/>
      </c>
      <c s="73">
        <f t="shared" si="31"/>
      </c>
      <c s="74">
        <f t="shared" si="32"/>
      </c>
      <c s="74">
        <f t="shared" si="33"/>
      </c>
      <c s="69" t="str">
        <f t="shared" si="17"/>
        <v>Total US - Petco.com</v>
      </c>
      <c s="69" t="str">
        <f t="shared" si="18"/>
        <v>Total US - Internet</v>
      </c>
      <c s="77"/>
    </row>
    <row r="232" spans="1:141" s="92" customFormat="1" ht="15">
      <c r="A2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232,$AL$8:$AL$15,1,FALSE))=TRUE,IF(AND(CV232=CW232,CV232&lt;&gt;"",DI$111&lt;&gt;"",DK232&lt;&gt;""),IF(CW$101="Y",DK232-IF(ISERROR(VLOOKUP(CV232,$CA$113:$DK$300,37,FALSE))=TRUE,0,IF(VLOOKUP(CV232,$CA$113:$DK$300,37,FALSE)="",0,VLOOKUP(CV232,$CA$113:$DK$300,37,FALSE))),DK232-IF(AND(CW$102="Y",CV232=$CW$111),DI$111,0)),""),"")</f>
      </c>
      <c s="76">
        <f>IF(ISERROR(VLOOKUP(CV232,$AL$8:$AL$15,1,FALSE))=TRUE,IF(CB232&lt;&gt;"",IF(CB232&gt;0,IF(Z$4&lt;&gt;"",MIN(4,RANK(CB232,$CB$111:$CB$300)),RANK(CB232,$CB$111:$CB$300)),""),""),"")</f>
      </c>
      <c s="75">
        <f>IF(ISERROR(VLOOKUP(CV232,$AL$8:$AL$15,1,FALSE))=TRUE,IF(AND(ISERROR(FIND("NeighMkt",$CX$102))=FALSE,LEFT($CW$111,10)="ALL OUTLET",$CA232&lt;&gt;"",DK232&lt;&gt;""),"",IF(AND($CV232&lt;&gt;$CW232,$CW232=CD$110),$DK232,"")),"")</f>
      </c>
      <c s="76">
        <f>IF(ISERROR(VLOOKUP(CV232,$AL$8:$AL$15,1,FALSE))=TRUE,IF(CD232&lt;&gt;"",IF(CD232&gt;0,RANK(CD232,$CD$111:$CD$300),""),""),"")</f>
      </c>
      <c s="75">
        <f>IF(ISERROR(VLOOKUP(CV232,$AL$8:$AL$15,1,FALSE))=TRUE,IF(AND(ISERROR(FIND("NeighMkt",$CX$102))=FALSE,LEFT($CW$111,10)="ALL OUTLET",$CA232&lt;&gt;"",DK232&lt;&gt;""),"",IF(AND($CV232&lt;&gt;$CW232,$CW232=CF$110),$DK232,"")),"")</f>
      </c>
      <c s="76">
        <f>IF(ISERROR(VLOOKUP(CV232,$AL$8:$AL$15,1,FALSE))=TRUE,IF(CF232&lt;&gt;"",IF(CF232&gt;0,RANK(CF232,$CF$111:$CF$300),""),""),"")</f>
      </c>
      <c s="75">
        <f>IF(ISERROR(VLOOKUP(CV232,$AL$8:$AL$15,1,FALSE))=TRUE,IF(AND(ISERROR(FIND("NeighMkt",$CX$102))=FALSE,LEFT($CW$111,10)="ALL OUTLET",$CA232&lt;&gt;"",DK232&lt;&gt;""),"",IF(AND($CV232&lt;&gt;$CW232,$CW232=CH$110),$DK232,"")),"")</f>
      </c>
      <c s="76">
        <f>IF(ISERROR(VLOOKUP(CV232,$AL$8:$AL$15,1,FALSE))=TRUE,IF(CH232&lt;&gt;"",IF(CH232&gt;0,RANK(CH232,$CH$111:$CH$300),""),""),"")</f>
      </c>
      <c s="75">
        <f>IF(ISERROR(VLOOKUP(CV232,$AL$8:$AL$15,1,FALSE))=TRUE,IF(AND(ISERROR(FIND("NeighMkt",$CX$102))=FALSE,LEFT($CW$111,10)="ALL OUTLET",$CA232&lt;&gt;"",DK232&lt;&gt;""),"",IF($Z$4="",IF(AND($CV232&lt;&gt;$CW232,$CW232=CJ$110),$DK232,""),IF(AND($CV232&lt;&gt;$CW232,$CW232&lt;&gt;CD$110,$CW232&lt;&gt;CF$110,$CW232&lt;&gt;CH$110,$CW232&lt;&gt;$CV$111),$DK232,""))),"")</f>
      </c>
      <c s="76">
        <f>IF(ISERROR(VLOOKUP(CV232,$AL$8:$AL$15,1,FALSE))=TRUE,IF(CJ232&lt;&gt;"",IF(CJ232&gt;0,RANK(CJ232,$CJ$111:$CJ$300),""),""),"")</f>
      </c>
      <c s="75">
        <f>IF(ISERROR(VLOOKUP(CV232,$AL$8:$AL$15,1,FALSE))=TRUE,IF(AND(CV232=CW232,CV232&lt;&gt;"",DJ232&lt;&gt;""),IF(AND(ISERROR(FIND("NeighMkt",$CX$102))=FALSE,LEFT($CW$111,10)="ALL OUTLET"),DJ232-IF(ISERROR(VLOOKUP(CV232,$CA$113:$DK$300,36,FALSE))=TRUE,0,IF(VLOOKUP(CV232,$CA$113:$DK$300,36,FALSE)="",0,VLOOKUP(CV232,$CA$113:$DK$300,36,FALSE))),DJ232),""),"")</f>
      </c>
      <c s="76">
        <f>IF(ISERROR(VLOOKUP(CV232,$AL$8:$AL$15,1,FALSE))=TRUE,IF(CL232&lt;&gt;"",IF(CL232&gt;0,IF($Z$4&lt;&gt;"",MIN(4,RANK(CL232,$CL$111:$CL$300)),RANK(CL232,$CL$111:$CL$300)),""),""),"")</f>
      </c>
      <c s="75">
        <f>IF(ISERROR(VLOOKUP(CV232,$AL$8:$AL$15,1,FALSE))=TRUE,IF(AND(ISERROR(FIND("NeighMkt",$CX$102))=FALSE,LEFT($CW$111,10)="ALL OUTLET",$CA232&lt;&gt;"",DJ232&lt;&gt;""),"",IF(AND($CV232&lt;&gt;$CW232,$CW232=CN$110),$DJ232,"")),"")</f>
      </c>
      <c s="76">
        <f>IF(ISERROR(VLOOKUP(CV232,$AL$8:$AL$15,1,FALSE))=TRUE,IF(CN232&lt;&gt;"",IF(CN232&gt;0,RANK(CN232,$CN$111:$CN$300),""),""),"")</f>
      </c>
      <c s="75">
        <f>IF(ISERROR(VLOOKUP(CV232,$AL$8:$AL$15,1,FALSE))=TRUE,IF(AND(ISERROR(FIND("NeighMkt",$CX$102))=FALSE,LEFT($CW$111,10)="ALL OUTLET",$CA232&lt;&gt;"",DJ232&lt;&gt;""),"",IF(AND($CV232&lt;&gt;$CW232,$CW232=CP$110),$DJ232,"")),"")</f>
      </c>
      <c s="76">
        <f>IF(ISERROR(VLOOKUP(CV232,$AL$8:$AL$15,1,FALSE))=TRUE,IF(CP232&lt;&gt;"",IF(CP232&gt;0,RANK(CP232,$CP$111:$CP$300),""),""),"")</f>
      </c>
      <c s="75">
        <f>IF(ISERROR(VLOOKUP(CV232,$AL$8:$AL$15,1,FALSE))=TRUE,IF(AND(ISERROR(FIND("NeighMkt",$CX$102))=FALSE,LEFT($CW$111,10)="ALL OUTLET",$CA232&lt;&gt;"",DJ232&lt;&gt;""),"",IF(AND($CV232&lt;&gt;$CW232,$CW232=CR$110),$DJ232,"")),"")</f>
      </c>
      <c s="76">
        <f>IF(ISERROR(VLOOKUP(CV232,$AL$8:$AL$15,1,FALSE))=TRUE,IF(CR232&lt;&gt;"",IF(CR232&gt;0,RANK(CR232,$CR$111:$CR$300),""),""),"")</f>
      </c>
      <c s="75">
        <f>IF(ISERROR(VLOOKUP(CV232,$AL$8:$AL$15,1,FALSE))=TRUE,IF(AND(ISERROR(FIND("NeighMkt",$CX$102))=FALSE,LEFT($CW$111,10)="ALL OUTLET",$CA232&lt;&gt;"",DJ232&lt;&gt;""),"",IF($Z$4="",IF(AND($CV232&lt;&gt;$CW232,$CW232=CT$110),$DJ232,""),IF(AND($CV232&lt;&gt;$CW232,$CW232&lt;&gt;CN$110,$CW232&lt;&gt;CP$110,$CW232&lt;&gt;CR$110,$CW232&lt;&gt;$CV$111),$DJ232,""))),"")</f>
      </c>
      <c s="76">
        <f>IF(ISERROR(VLOOKUP(CV232,$AL$8:$AL$15,1,FALSE))=TRUE,IF(CT232&lt;&gt;"",IF(CT232&gt;0,RANK(CT232,$CT$111:$CT$300),""),""),"")</f>
      </c>
      <c s="65" t="str">
        <f t="shared" si="19"/>
        <v>Petsmart.com</v>
      </c>
      <c s="65" t="str">
        <f t="shared" si="20"/>
        <v>Internet</v>
      </c>
      <c s="72" t="str">
        <f>IF('[1]Leakage Tree Data'!A131&lt;&gt;"",'[1]Leakage Tree Data'!A131,"")</f>
        <v>Total US - Petsmart.com</v>
      </c>
      <c s="72" t="str">
        <f>IF('[1]Leakage Tree Data'!B131&lt;&gt;"",'[1]Leakage Tree Data'!B131,"")</f>
        <v>Total US - Internet</v>
      </c>
      <c s="72">
        <f>IF('[1]Leakage Tree Data'!C131&lt;&gt;"",'[1]Leakage Tree Data'!C131,"")</f>
        <v>121171760.292236</v>
      </c>
      <c s="72">
        <f>IF('[1]Leakage Tree Data'!D131&lt;&gt;"",'[1]Leakage Tree Data'!D131,"")</f>
        <v>859766.878295898</v>
      </c>
      <c s="72">
        <f>IF('[1]Leakage Tree Data'!E131&lt;&gt;"",'[1]Leakage Tree Data'!E131,"")</f>
        <v>0.709543936823525</v>
      </c>
      <c s="72">
        <f>IF('[1]Leakage Tree Data'!F131&lt;&gt;"",'[1]Leakage Tree Data'!F131,"")</f>
        <v>120311993.41394</v>
      </c>
      <c s="72">
        <f>IF('[1]Leakage Tree Data'!G131&lt;&gt;"",'[1]Leakage Tree Data'!G131,"")</f>
        <v>99.2904560631765</v>
      </c>
      <c s="72">
        <f>IF('[1]Leakage Tree Data'!H131&lt;&gt;"",'[1]Leakage Tree Data'!H131,"")</f>
        <v>61518209.9918823</v>
      </c>
      <c s="72" t="str">
        <f>IF('[1]Leakage Tree Data'!I131&lt;&gt;"",'[1]Leakage Tree Data'!I131,"")</f>
        <v>Internet</v>
      </c>
      <c s="72">
        <f>IF('[1]Leakage Tree Data'!J131&lt;&gt;"",'[1]Leakage Tree Data'!J131,"")</f>
      </c>
      <c s="72">
        <f>IF('[1]Leakage Tree Data'!K131&lt;&gt;"",'[1]Leakage Tree Data'!K131,"")</f>
      </c>
      <c s="72">
        <f>IF('[1]Leakage Tree Data'!L131&lt;&gt;"",'[1]Leakage Tree Data'!L131,"")</f>
      </c>
      <c s="72">
        <f>IF('[1]Leakage Tree Data'!M131&lt;&gt;"",'[1]Leakage Tree Data'!M131,"")</f>
      </c>
      <c s="72">
        <f>IF('[1]Leakage Tree Data'!N131&lt;&gt;"",'[1]Leakage Tree Data'!N131,"")</f>
      </c>
      <c s="72">
        <f>IF('[1]Leakage Tree Data'!O131&lt;&gt;"",'[1]Leakage Tree Data'!O131,"")</f>
      </c>
      <c s="72">
        <f>IF('[1]Leakage Tree Data'!P131&lt;&gt;"",'[1]Leakage Tree Data'!P131,"")</f>
      </c>
      <c s="72">
        <f>IF('[1]Leakage Tree Data'!Q131&lt;&gt;"",'[1]Leakage Tree Data'!Q131,"")</f>
      </c>
      <c s="72">
        <f>IF('[1]Leakage Tree Data'!R131&lt;&gt;"",'[1]Leakage Tree Data'!R131,"")</f>
        <v>1017625.85098267</v>
      </c>
      <c s="72">
        <f>IF('[1]Leakage Tree Data'!S131&lt;&gt;"",'[1]Leakage Tree Data'!S131,"")</f>
        <v>-34606.4739074707</v>
      </c>
      <c s="72">
        <f>IF('[1]Leakage Tree Data'!T131&lt;&gt;"",'[1]Leakage Tree Data'!T131,"")</f>
        <v>-0.0348111004479144</v>
      </c>
      <c s="72">
        <f>IF('[1]Leakage Tree Data'!U131&lt;&gt;"",'[1]Leakage Tree Data'!U131,"")</f>
        <v>1052232.32489014</v>
      </c>
      <c s="72">
        <f>IF('[1]Leakage Tree Data'!V131&lt;&gt;"",'[1]Leakage Tree Data'!V131,"")</f>
        <v>0.0348111004479108</v>
      </c>
      <c s="72">
        <f>IF('[1]Leakage Tree Data'!W131&lt;&gt;"",'[1]Leakage Tree Data'!W131,"")</f>
        <v>-1855949.2237854</v>
      </c>
      <c s="72">
        <f>IF('[1]Leakage Tree Data'!X131&lt;&gt;"",'[1]Leakage Tree Data'!X131,"")</f>
      </c>
      <c s="72">
        <f>IF('[1]Leakage Tree Data'!Y131&lt;&gt;"",'[1]Leakage Tree Data'!Y131,"")</f>
      </c>
      <c s="72">
        <f>IF('[1]Leakage Tree Data'!Z131&lt;&gt;"",'[1]Leakage Tree Data'!Z131,"")</f>
      </c>
      <c s="72">
        <f>IF('[1]Leakage Tree Data'!AA131&lt;&gt;"",'[1]Leakage Tree Data'!AA131,"")</f>
      </c>
      <c s="72">
        <f>IF('[1]Leakage Tree Data'!AB131&lt;&gt;"",'[1]Leakage Tree Data'!AB131,"")</f>
      </c>
      <c s="72">
        <f>IF('[1]Leakage Tree Data'!AC131&lt;&gt;"",'[1]Leakage Tree Data'!AC131,"")</f>
      </c>
      <c s="72">
        <f>IF('[1]Leakage Tree Data'!AD131&lt;&gt;"",'[1]Leakage Tree Data'!AD131,"")</f>
      </c>
      <c s="72">
        <f>IF('[1]Leakage Tree Data'!AE131&lt;&gt;"",'[1]Leakage Tree Data'!AE131,"")</f>
      </c>
      <c s="73">
        <f t="shared" si="28"/>
      </c>
      <c s="73">
        <f t="shared" si="29"/>
      </c>
      <c s="73">
        <f t="shared" si="30"/>
      </c>
      <c s="73">
        <f t="shared" si="31"/>
      </c>
      <c s="74">
        <f t="shared" si="32"/>
      </c>
      <c s="74">
        <f t="shared" si="33"/>
      </c>
      <c s="69" t="str">
        <f t="shared" si="17"/>
        <v>Total US - Petsmart.com</v>
      </c>
      <c s="69" t="str">
        <f t="shared" si="18"/>
        <v>Total US - Internet</v>
      </c>
      <c s="77"/>
    </row>
    <row r="233" spans="1:141" s="92" customFormat="1" ht="15">
      <c r="A2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233,$AL$8:$AL$15,1,FALSE))=TRUE,IF(AND(CV233=CW233,CV233&lt;&gt;"",DI$111&lt;&gt;"",DK233&lt;&gt;""),IF(CW$101="Y",DK233-IF(ISERROR(VLOOKUP(CV233,$CA$113:$DK$300,37,FALSE))=TRUE,0,IF(VLOOKUP(CV233,$CA$113:$DK$300,37,FALSE)="",0,VLOOKUP(CV233,$CA$113:$DK$300,37,FALSE))),DK233-IF(AND(CW$102="Y",CV233=$CW$111),DI$111,0)),""),"")</f>
      </c>
      <c s="76">
        <f>IF(ISERROR(VLOOKUP(CV233,$AL$8:$AL$15,1,FALSE))=TRUE,IF(CB233&lt;&gt;"",IF(CB233&gt;0,IF(Z$4&lt;&gt;"",MIN(4,RANK(CB233,$CB$111:$CB$300)),RANK(CB233,$CB$111:$CB$300)),""),""),"")</f>
      </c>
      <c s="75">
        <f>IF(ISERROR(VLOOKUP(CV233,$AL$8:$AL$15,1,FALSE))=TRUE,IF(AND(ISERROR(FIND("NeighMkt",$CX$102))=FALSE,LEFT($CW$111,10)="ALL OUTLET",$CA233&lt;&gt;"",DK233&lt;&gt;""),"",IF(AND($CV233&lt;&gt;$CW233,$CW233=CD$110),$DK233,"")),"")</f>
      </c>
      <c s="76">
        <f>IF(ISERROR(VLOOKUP(CV233,$AL$8:$AL$15,1,FALSE))=TRUE,IF(CD233&lt;&gt;"",IF(CD233&gt;0,RANK(CD233,$CD$111:$CD$300),""),""),"")</f>
      </c>
      <c s="75">
        <f>IF(ISERROR(VLOOKUP(CV233,$AL$8:$AL$15,1,FALSE))=TRUE,IF(AND(ISERROR(FIND("NeighMkt",$CX$102))=FALSE,LEFT($CW$111,10)="ALL OUTLET",$CA233&lt;&gt;"",DK233&lt;&gt;""),"",IF(AND($CV233&lt;&gt;$CW233,$CW233=CF$110),$DK233,"")),"")</f>
      </c>
      <c s="76">
        <f>IF(ISERROR(VLOOKUP(CV233,$AL$8:$AL$15,1,FALSE))=TRUE,IF(CF233&lt;&gt;"",IF(CF233&gt;0,RANK(CF233,$CF$111:$CF$300),""),""),"")</f>
      </c>
      <c s="75">
        <f>IF(ISERROR(VLOOKUP(CV233,$AL$8:$AL$15,1,FALSE))=TRUE,IF(AND(ISERROR(FIND("NeighMkt",$CX$102))=FALSE,LEFT($CW$111,10)="ALL OUTLET",$CA233&lt;&gt;"",DK233&lt;&gt;""),"",IF(AND($CV233&lt;&gt;$CW233,$CW233=CH$110),$DK233,"")),"")</f>
      </c>
      <c s="76">
        <f>IF(ISERROR(VLOOKUP(CV233,$AL$8:$AL$15,1,FALSE))=TRUE,IF(CH233&lt;&gt;"",IF(CH233&gt;0,RANK(CH233,$CH$111:$CH$300),""),""),"")</f>
      </c>
      <c s="75">
        <f>IF(ISERROR(VLOOKUP(CV233,$AL$8:$AL$15,1,FALSE))=TRUE,IF(AND(ISERROR(FIND("NeighMkt",$CX$102))=FALSE,LEFT($CW$111,10)="ALL OUTLET",$CA233&lt;&gt;"",DK233&lt;&gt;""),"",IF($Z$4="",IF(AND($CV233&lt;&gt;$CW233,$CW233=CJ$110),$DK233,""),IF(AND($CV233&lt;&gt;$CW233,$CW233&lt;&gt;CD$110,$CW233&lt;&gt;CF$110,$CW233&lt;&gt;CH$110,$CW233&lt;&gt;$CV$111),$DK233,""))),"")</f>
      </c>
      <c s="76">
        <f>IF(ISERROR(VLOOKUP(CV233,$AL$8:$AL$15,1,FALSE))=TRUE,IF(CJ233&lt;&gt;"",IF(CJ233&gt;0,RANK(CJ233,$CJ$111:$CJ$300),""),""),"")</f>
      </c>
      <c s="75">
        <f>IF(ISERROR(VLOOKUP(CV233,$AL$8:$AL$15,1,FALSE))=TRUE,IF(AND(CV233=CW233,CV233&lt;&gt;"",DJ233&lt;&gt;""),IF(AND(ISERROR(FIND("NeighMkt",$CX$102))=FALSE,LEFT($CW$111,10)="ALL OUTLET"),DJ233-IF(ISERROR(VLOOKUP(CV233,$CA$113:$DK$300,36,FALSE))=TRUE,0,IF(VLOOKUP(CV233,$CA$113:$DK$300,36,FALSE)="",0,VLOOKUP(CV233,$CA$113:$DK$300,36,FALSE))),DJ233),""),"")</f>
      </c>
      <c s="76">
        <f>IF(ISERROR(VLOOKUP(CV233,$AL$8:$AL$15,1,FALSE))=TRUE,IF(CL233&lt;&gt;"",IF(CL233&gt;0,IF($Z$4&lt;&gt;"",MIN(4,RANK(CL233,$CL$111:$CL$300)),RANK(CL233,$CL$111:$CL$300)),""),""),"")</f>
      </c>
      <c s="75">
        <f>IF(ISERROR(VLOOKUP(CV233,$AL$8:$AL$15,1,FALSE))=TRUE,IF(AND(ISERROR(FIND("NeighMkt",$CX$102))=FALSE,LEFT($CW$111,10)="ALL OUTLET",$CA233&lt;&gt;"",DJ233&lt;&gt;""),"",IF(AND($CV233&lt;&gt;$CW233,$CW233=CN$110),$DJ233,"")),"")</f>
      </c>
      <c s="76">
        <f>IF(ISERROR(VLOOKUP(CV233,$AL$8:$AL$15,1,FALSE))=TRUE,IF(CN233&lt;&gt;"",IF(CN233&gt;0,RANK(CN233,$CN$111:$CN$300),""),""),"")</f>
      </c>
      <c s="75">
        <f>IF(ISERROR(VLOOKUP(CV233,$AL$8:$AL$15,1,FALSE))=TRUE,IF(AND(ISERROR(FIND("NeighMkt",$CX$102))=FALSE,LEFT($CW$111,10)="ALL OUTLET",$CA233&lt;&gt;"",DJ233&lt;&gt;""),"",IF(AND($CV233&lt;&gt;$CW233,$CW233=CP$110),$DJ233,"")),"")</f>
      </c>
      <c s="76">
        <f>IF(ISERROR(VLOOKUP(CV233,$AL$8:$AL$15,1,FALSE))=TRUE,IF(CP233&lt;&gt;"",IF(CP233&gt;0,RANK(CP233,$CP$111:$CP$300),""),""),"")</f>
      </c>
      <c s="75">
        <f>IF(ISERROR(VLOOKUP(CV233,$AL$8:$AL$15,1,FALSE))=TRUE,IF(AND(ISERROR(FIND("NeighMkt",$CX$102))=FALSE,LEFT($CW$111,10)="ALL OUTLET",$CA233&lt;&gt;"",DJ233&lt;&gt;""),"",IF(AND($CV233&lt;&gt;$CW233,$CW233=CR$110),$DJ233,"")),"")</f>
      </c>
      <c s="76">
        <f>IF(ISERROR(VLOOKUP(CV233,$AL$8:$AL$15,1,FALSE))=TRUE,IF(CR233&lt;&gt;"",IF(CR233&gt;0,RANK(CR233,$CR$111:$CR$300),""),""),"")</f>
      </c>
      <c s="75">
        <f>IF(ISERROR(VLOOKUP(CV233,$AL$8:$AL$15,1,FALSE))=TRUE,IF(AND(ISERROR(FIND("NeighMkt",$CX$102))=FALSE,LEFT($CW$111,10)="ALL OUTLET",$CA233&lt;&gt;"",DJ233&lt;&gt;""),"",IF($Z$4="",IF(AND($CV233&lt;&gt;$CW233,$CW233=CT$110),$DJ233,""),IF(AND($CV233&lt;&gt;$CW233,$CW233&lt;&gt;CN$110,$CW233&lt;&gt;CP$110,$CW233&lt;&gt;CR$110,$CW233&lt;&gt;$CV$111),$DJ233,""))),"")</f>
      </c>
      <c s="76">
        <f>IF(ISERROR(VLOOKUP(CV233,$AL$8:$AL$15,1,FALSE))=TRUE,IF(CT233&lt;&gt;"",IF(CT233&gt;0,RANK(CT233,$CT$111:$CT$300),""),""),"")</f>
      </c>
      <c s="65" t="str">
        <f t="shared" si="19"/>
        <v>Puritan.com</v>
      </c>
      <c s="65" t="str">
        <f t="shared" si="20"/>
        <v>Internet</v>
      </c>
      <c s="72" t="str">
        <f>IF('[1]Leakage Tree Data'!A132&lt;&gt;"",'[1]Leakage Tree Data'!A132,"")</f>
        <v>Total US - Puritan.com</v>
      </c>
      <c s="72" t="str">
        <f>IF('[1]Leakage Tree Data'!B132&lt;&gt;"",'[1]Leakage Tree Data'!B132,"")</f>
        <v>Total US - Internet</v>
      </c>
      <c s="72">
        <f>IF('[1]Leakage Tree Data'!C132&lt;&gt;"",'[1]Leakage Tree Data'!C132,"")</f>
        <v>121171760.292236</v>
      </c>
      <c s="72">
        <f>IF('[1]Leakage Tree Data'!D132&lt;&gt;"",'[1]Leakage Tree Data'!D132,"")</f>
        <v>788125.647216797</v>
      </c>
      <c s="72">
        <f>IF('[1]Leakage Tree Data'!E132&lt;&gt;"",'[1]Leakage Tree Data'!E132,"")</f>
        <v>0.650420234315349</v>
      </c>
      <c s="72">
        <f>IF('[1]Leakage Tree Data'!F132&lt;&gt;"",'[1]Leakage Tree Data'!F132,"")</f>
        <v>120383634.64502</v>
      </c>
      <c s="72">
        <f>IF('[1]Leakage Tree Data'!G132&lt;&gt;"",'[1]Leakage Tree Data'!G132,"")</f>
        <v>99.3495797656847</v>
      </c>
      <c s="72">
        <f>IF('[1]Leakage Tree Data'!H132&lt;&gt;"",'[1]Leakage Tree Data'!H132,"")</f>
        <v>61518209.9918823</v>
      </c>
      <c s="72" t="str">
        <f>IF('[1]Leakage Tree Data'!I132&lt;&gt;"",'[1]Leakage Tree Data'!I132,"")</f>
        <v>Internet</v>
      </c>
      <c s="72">
        <f>IF('[1]Leakage Tree Data'!J132&lt;&gt;"",'[1]Leakage Tree Data'!J132,"")</f>
      </c>
      <c s="72">
        <f>IF('[1]Leakage Tree Data'!K132&lt;&gt;"",'[1]Leakage Tree Data'!K132,"")</f>
      </c>
      <c s="72">
        <f>IF('[1]Leakage Tree Data'!L132&lt;&gt;"",'[1]Leakage Tree Data'!L132,"")</f>
      </c>
      <c s="72">
        <f>IF('[1]Leakage Tree Data'!M132&lt;&gt;"",'[1]Leakage Tree Data'!M132,"")</f>
      </c>
      <c s="72">
        <f>IF('[1]Leakage Tree Data'!N132&lt;&gt;"",'[1]Leakage Tree Data'!N132,"")</f>
      </c>
      <c s="72">
        <f>IF('[1]Leakage Tree Data'!O132&lt;&gt;"",'[1]Leakage Tree Data'!O132,"")</f>
      </c>
      <c s="72">
        <f>IF('[1]Leakage Tree Data'!P132&lt;&gt;"",'[1]Leakage Tree Data'!P132,"")</f>
      </c>
      <c s="72">
        <f>IF('[1]Leakage Tree Data'!Q132&lt;&gt;"",'[1]Leakage Tree Data'!Q132,"")</f>
      </c>
      <c s="72">
        <f>IF('[1]Leakage Tree Data'!R132&lt;&gt;"",'[1]Leakage Tree Data'!R132,"")</f>
        <v>1017625.85098267</v>
      </c>
      <c s="72">
        <f>IF('[1]Leakage Tree Data'!S132&lt;&gt;"",'[1]Leakage Tree Data'!S132,"")</f>
        <v>-1038.07427978516</v>
      </c>
      <c s="72">
        <f>IF('[1]Leakage Tree Data'!T132&lt;&gt;"",'[1]Leakage Tree Data'!T132,"")</f>
        <v>-0.00637258031927634</v>
      </c>
      <c s="72">
        <f>IF('[1]Leakage Tree Data'!U132&lt;&gt;"",'[1]Leakage Tree Data'!U132,"")</f>
        <v>1018663.92526245</v>
      </c>
      <c s="72">
        <f>IF('[1]Leakage Tree Data'!V132&lt;&gt;"",'[1]Leakage Tree Data'!V132,"")</f>
        <v>0.00637258031927956</v>
      </c>
      <c s="72">
        <f>IF('[1]Leakage Tree Data'!W132&lt;&gt;"",'[1]Leakage Tree Data'!W132,"")</f>
        <v>-1855949.2237854</v>
      </c>
      <c s="72">
        <f>IF('[1]Leakage Tree Data'!X132&lt;&gt;"",'[1]Leakage Tree Data'!X132,"")</f>
      </c>
      <c s="72">
        <f>IF('[1]Leakage Tree Data'!Y132&lt;&gt;"",'[1]Leakage Tree Data'!Y132,"")</f>
      </c>
      <c s="72">
        <f>IF('[1]Leakage Tree Data'!Z132&lt;&gt;"",'[1]Leakage Tree Data'!Z132,"")</f>
      </c>
      <c s="72">
        <f>IF('[1]Leakage Tree Data'!AA132&lt;&gt;"",'[1]Leakage Tree Data'!AA132,"")</f>
      </c>
      <c s="72">
        <f>IF('[1]Leakage Tree Data'!AB132&lt;&gt;"",'[1]Leakage Tree Data'!AB132,"")</f>
      </c>
      <c s="72">
        <f>IF('[1]Leakage Tree Data'!AC132&lt;&gt;"",'[1]Leakage Tree Data'!AC132,"")</f>
      </c>
      <c s="72">
        <f>IF('[1]Leakage Tree Data'!AD132&lt;&gt;"",'[1]Leakage Tree Data'!AD132,"")</f>
      </c>
      <c s="72">
        <f>IF('[1]Leakage Tree Data'!AE132&lt;&gt;"",'[1]Leakage Tree Data'!AE132,"")</f>
      </c>
      <c s="73">
        <f t="shared" si="28"/>
      </c>
      <c s="73">
        <f t="shared" si="29"/>
      </c>
      <c s="73">
        <f t="shared" si="30"/>
      </c>
      <c s="73">
        <f t="shared" si="31"/>
      </c>
      <c s="74">
        <f t="shared" si="32"/>
      </c>
      <c s="74">
        <f t="shared" si="33"/>
      </c>
      <c s="69" t="str">
        <f t="shared" si="17"/>
        <v>Total US - Puritan.com</v>
      </c>
      <c s="69" t="str">
        <f t="shared" si="18"/>
        <v>Total US - Internet</v>
      </c>
      <c s="77"/>
    </row>
    <row r="234" spans="1:141" s="92" customFormat="1" ht="15">
      <c r="A2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234,$AL$8:$AL$15,1,FALSE))=TRUE,IF(AND(CV234=CW234,CV234&lt;&gt;"",DI$111&lt;&gt;"",DK234&lt;&gt;""),IF(CW$101="Y",DK234-IF(ISERROR(VLOOKUP(CV234,$CA$113:$DK$300,37,FALSE))=TRUE,0,IF(VLOOKUP(CV234,$CA$113:$DK$300,37,FALSE)="",0,VLOOKUP(CV234,$CA$113:$DK$300,37,FALSE))),DK234-IF(AND(CW$102="Y",CV234=$CW$111),DI$111,0)),""),"")</f>
      </c>
      <c s="76">
        <f>IF(ISERROR(VLOOKUP(CV234,$AL$8:$AL$15,1,FALSE))=TRUE,IF(CB234&lt;&gt;"",IF(CB234&gt;0,IF(Z$4&lt;&gt;"",MIN(4,RANK(CB234,$CB$111:$CB$300)),RANK(CB234,$CB$111:$CB$300)),""),""),"")</f>
      </c>
      <c s="75">
        <f>IF(ISERROR(VLOOKUP(CV234,$AL$8:$AL$15,1,FALSE))=TRUE,IF(AND(ISERROR(FIND("NeighMkt",$CX$102))=FALSE,LEFT($CW$111,10)="ALL OUTLET",$CA234&lt;&gt;"",DK234&lt;&gt;""),"",IF(AND($CV234&lt;&gt;$CW234,$CW234=CD$110),$DK234,"")),"")</f>
      </c>
      <c s="76">
        <f>IF(ISERROR(VLOOKUP(CV234,$AL$8:$AL$15,1,FALSE))=TRUE,IF(CD234&lt;&gt;"",IF(CD234&gt;0,RANK(CD234,$CD$111:$CD$300),""),""),"")</f>
      </c>
      <c s="75">
        <f>IF(ISERROR(VLOOKUP(CV234,$AL$8:$AL$15,1,FALSE))=TRUE,IF(AND(ISERROR(FIND("NeighMkt",$CX$102))=FALSE,LEFT($CW$111,10)="ALL OUTLET",$CA234&lt;&gt;"",DK234&lt;&gt;""),"",IF(AND($CV234&lt;&gt;$CW234,$CW234=CF$110),$DK234,"")),"")</f>
      </c>
      <c s="76">
        <f>IF(ISERROR(VLOOKUP(CV234,$AL$8:$AL$15,1,FALSE))=TRUE,IF(CF234&lt;&gt;"",IF(CF234&gt;0,RANK(CF234,$CF$111:$CF$300),""),""),"")</f>
      </c>
      <c s="75">
        <f>IF(ISERROR(VLOOKUP(CV234,$AL$8:$AL$15,1,FALSE))=TRUE,IF(AND(ISERROR(FIND("NeighMkt",$CX$102))=FALSE,LEFT($CW$111,10)="ALL OUTLET",$CA234&lt;&gt;"",DK234&lt;&gt;""),"",IF(AND($CV234&lt;&gt;$CW234,$CW234=CH$110),$DK234,"")),"")</f>
      </c>
      <c s="76">
        <f>IF(ISERROR(VLOOKUP(CV234,$AL$8:$AL$15,1,FALSE))=TRUE,IF(CH234&lt;&gt;"",IF(CH234&gt;0,RANK(CH234,$CH$111:$CH$300),""),""),"")</f>
      </c>
      <c s="75">
        <f>IF(ISERROR(VLOOKUP(CV234,$AL$8:$AL$15,1,FALSE))=TRUE,IF(AND(ISERROR(FIND("NeighMkt",$CX$102))=FALSE,LEFT($CW$111,10)="ALL OUTLET",$CA234&lt;&gt;"",DK234&lt;&gt;""),"",IF($Z$4="",IF(AND($CV234&lt;&gt;$CW234,$CW234=CJ$110),$DK234,""),IF(AND($CV234&lt;&gt;$CW234,$CW234&lt;&gt;CD$110,$CW234&lt;&gt;CF$110,$CW234&lt;&gt;CH$110,$CW234&lt;&gt;$CV$111),$DK234,""))),"")</f>
      </c>
      <c s="76">
        <f>IF(ISERROR(VLOOKUP(CV234,$AL$8:$AL$15,1,FALSE))=TRUE,IF(CJ234&lt;&gt;"",IF(CJ234&gt;0,RANK(CJ234,$CJ$111:$CJ$300),""),""),"")</f>
      </c>
      <c s="75">
        <f>IF(ISERROR(VLOOKUP(CV234,$AL$8:$AL$15,1,FALSE))=TRUE,IF(AND(CV234=CW234,CV234&lt;&gt;"",DJ234&lt;&gt;""),IF(AND(ISERROR(FIND("NeighMkt",$CX$102))=FALSE,LEFT($CW$111,10)="ALL OUTLET"),DJ234-IF(ISERROR(VLOOKUP(CV234,$CA$113:$DK$300,36,FALSE))=TRUE,0,IF(VLOOKUP(CV234,$CA$113:$DK$300,36,FALSE)="",0,VLOOKUP(CV234,$CA$113:$DK$300,36,FALSE))),DJ234),""),"")</f>
      </c>
      <c s="76">
        <f>IF(ISERROR(VLOOKUP(CV234,$AL$8:$AL$15,1,FALSE))=TRUE,IF(CL234&lt;&gt;"",IF(CL234&gt;0,IF($Z$4&lt;&gt;"",MIN(4,RANK(CL234,$CL$111:$CL$300)),RANK(CL234,$CL$111:$CL$300)),""),""),"")</f>
      </c>
      <c s="75">
        <f>IF(ISERROR(VLOOKUP(CV234,$AL$8:$AL$15,1,FALSE))=TRUE,IF(AND(ISERROR(FIND("NeighMkt",$CX$102))=FALSE,LEFT($CW$111,10)="ALL OUTLET",$CA234&lt;&gt;"",DJ234&lt;&gt;""),"",IF(AND($CV234&lt;&gt;$CW234,$CW234=CN$110),$DJ234,"")),"")</f>
      </c>
      <c s="76">
        <f>IF(ISERROR(VLOOKUP(CV234,$AL$8:$AL$15,1,FALSE))=TRUE,IF(CN234&lt;&gt;"",IF(CN234&gt;0,RANK(CN234,$CN$111:$CN$300),""),""),"")</f>
      </c>
      <c s="75">
        <f>IF(ISERROR(VLOOKUP(CV234,$AL$8:$AL$15,1,FALSE))=TRUE,IF(AND(ISERROR(FIND("NeighMkt",$CX$102))=FALSE,LEFT($CW$111,10)="ALL OUTLET",$CA234&lt;&gt;"",DJ234&lt;&gt;""),"",IF(AND($CV234&lt;&gt;$CW234,$CW234=CP$110),$DJ234,"")),"")</f>
      </c>
      <c s="76">
        <f>IF(ISERROR(VLOOKUP(CV234,$AL$8:$AL$15,1,FALSE))=TRUE,IF(CP234&lt;&gt;"",IF(CP234&gt;0,RANK(CP234,$CP$111:$CP$300),""),""),"")</f>
      </c>
      <c s="75">
        <f>IF(ISERROR(VLOOKUP(CV234,$AL$8:$AL$15,1,FALSE))=TRUE,IF(AND(ISERROR(FIND("NeighMkt",$CX$102))=FALSE,LEFT($CW$111,10)="ALL OUTLET",$CA234&lt;&gt;"",DJ234&lt;&gt;""),"",IF(AND($CV234&lt;&gt;$CW234,$CW234=CR$110),$DJ234,"")),"")</f>
      </c>
      <c s="76">
        <f>IF(ISERROR(VLOOKUP(CV234,$AL$8:$AL$15,1,FALSE))=TRUE,IF(CR234&lt;&gt;"",IF(CR234&gt;0,RANK(CR234,$CR$111:$CR$300),""),""),"")</f>
      </c>
      <c s="75">
        <f>IF(ISERROR(VLOOKUP(CV234,$AL$8:$AL$15,1,FALSE))=TRUE,IF(AND(ISERROR(FIND("NeighMkt",$CX$102))=FALSE,LEFT($CW$111,10)="ALL OUTLET",$CA234&lt;&gt;"",DJ234&lt;&gt;""),"",IF($Z$4="",IF(AND($CV234&lt;&gt;$CW234,$CW234=CT$110),$DJ234,""),IF(AND($CV234&lt;&gt;$CW234,$CW234&lt;&gt;CN$110,$CW234&lt;&gt;CP$110,$CW234&lt;&gt;CR$110,$CW234&lt;&gt;$CV$111),$DJ234,""))),"")</f>
      </c>
      <c s="76">
        <f>IF(ISERROR(VLOOKUP(CV234,$AL$8:$AL$15,1,FALSE))=TRUE,IF(CT234&lt;&gt;"",IF(CT234&gt;0,RANK(CT234,$CT$111:$CT$300),""),""),"")</f>
      </c>
      <c s="65" t="str">
        <f t="shared" si="19"/>
        <v>QVC.com</v>
      </c>
      <c s="65" t="str">
        <f t="shared" si="20"/>
        <v>Internet</v>
      </c>
      <c s="72" t="str">
        <f>IF('[1]Leakage Tree Data'!A133&lt;&gt;"",'[1]Leakage Tree Data'!A133,"")</f>
        <v>Total US - QVC.com</v>
      </c>
      <c s="72" t="str">
        <f>IF('[1]Leakage Tree Data'!B133&lt;&gt;"",'[1]Leakage Tree Data'!B133,"")</f>
        <v>Total US - Internet</v>
      </c>
      <c s="72">
        <f>IF('[1]Leakage Tree Data'!C133&lt;&gt;"",'[1]Leakage Tree Data'!C133,"")</f>
        <v>121171760.292236</v>
      </c>
      <c s="72">
        <f>IF('[1]Leakage Tree Data'!D133&lt;&gt;"",'[1]Leakage Tree Data'!D133,"")</f>
        <v>1412994.66418457</v>
      </c>
      <c s="72">
        <f>IF('[1]Leakage Tree Data'!E133&lt;&gt;"",'[1]Leakage Tree Data'!E133,"")</f>
        <v>1.16610888607773</v>
      </c>
      <c s="72">
        <f>IF('[1]Leakage Tree Data'!F133&lt;&gt;"",'[1]Leakage Tree Data'!F133,"")</f>
        <v>119758765.628052</v>
      </c>
      <c s="72">
        <f>IF('[1]Leakage Tree Data'!G133&lt;&gt;"",'[1]Leakage Tree Data'!G133,"")</f>
        <v>98.8338911139223</v>
      </c>
      <c s="72">
        <f>IF('[1]Leakage Tree Data'!H133&lt;&gt;"",'[1]Leakage Tree Data'!H133,"")</f>
        <v>61518209.9918823</v>
      </c>
      <c s="72" t="str">
        <f>IF('[1]Leakage Tree Data'!I133&lt;&gt;"",'[1]Leakage Tree Data'!I133,"")</f>
        <v>Internet</v>
      </c>
      <c s="72">
        <f>IF('[1]Leakage Tree Data'!J133&lt;&gt;"",'[1]Leakage Tree Data'!J133,"")</f>
      </c>
      <c s="72">
        <f>IF('[1]Leakage Tree Data'!K133&lt;&gt;"",'[1]Leakage Tree Data'!K133,"")</f>
      </c>
      <c s="72">
        <f>IF('[1]Leakage Tree Data'!L133&lt;&gt;"",'[1]Leakage Tree Data'!L133,"")</f>
      </c>
      <c s="72">
        <f>IF('[1]Leakage Tree Data'!M133&lt;&gt;"",'[1]Leakage Tree Data'!M133,"")</f>
      </c>
      <c s="72">
        <f>IF('[1]Leakage Tree Data'!N133&lt;&gt;"",'[1]Leakage Tree Data'!N133,"")</f>
      </c>
      <c s="72">
        <f>IF('[1]Leakage Tree Data'!O133&lt;&gt;"",'[1]Leakage Tree Data'!O133,"")</f>
      </c>
      <c s="72">
        <f>IF('[1]Leakage Tree Data'!P133&lt;&gt;"",'[1]Leakage Tree Data'!P133,"")</f>
      </c>
      <c s="72">
        <f>IF('[1]Leakage Tree Data'!Q133&lt;&gt;"",'[1]Leakage Tree Data'!Q133,"")</f>
      </c>
      <c s="72">
        <f>IF('[1]Leakage Tree Data'!R133&lt;&gt;"",'[1]Leakage Tree Data'!R133,"")</f>
        <v>1017625.85098267</v>
      </c>
      <c s="72">
        <f>IF('[1]Leakage Tree Data'!S133&lt;&gt;"",'[1]Leakage Tree Data'!S133,"")</f>
        <v>59551.6165161133</v>
      </c>
      <c s="72">
        <f>IF('[1]Leakage Tree Data'!T133&lt;&gt;"",'[1]Leakage Tree Data'!T133,"")</f>
        <v>0.0396865170412379</v>
      </c>
      <c s="72">
        <f>IF('[1]Leakage Tree Data'!U133&lt;&gt;"",'[1]Leakage Tree Data'!U133,"")</f>
        <v>958074.234466553</v>
      </c>
      <c s="72">
        <f>IF('[1]Leakage Tree Data'!V133&lt;&gt;"",'[1]Leakage Tree Data'!V133,"")</f>
        <v>-0.0396865170412326</v>
      </c>
      <c s="72">
        <f>IF('[1]Leakage Tree Data'!W133&lt;&gt;"",'[1]Leakage Tree Data'!W133,"")</f>
        <v>-1855949.2237854</v>
      </c>
      <c s="72">
        <f>IF('[1]Leakage Tree Data'!X133&lt;&gt;"",'[1]Leakage Tree Data'!X133,"")</f>
      </c>
      <c s="72">
        <f>IF('[1]Leakage Tree Data'!Y133&lt;&gt;"",'[1]Leakage Tree Data'!Y133,"")</f>
      </c>
      <c s="72">
        <f>IF('[1]Leakage Tree Data'!Z133&lt;&gt;"",'[1]Leakage Tree Data'!Z133,"")</f>
      </c>
      <c s="72">
        <f>IF('[1]Leakage Tree Data'!AA133&lt;&gt;"",'[1]Leakage Tree Data'!AA133,"")</f>
      </c>
      <c s="72">
        <f>IF('[1]Leakage Tree Data'!AB133&lt;&gt;"",'[1]Leakage Tree Data'!AB133,"")</f>
      </c>
      <c s="72">
        <f>IF('[1]Leakage Tree Data'!AC133&lt;&gt;"",'[1]Leakage Tree Data'!AC133,"")</f>
      </c>
      <c s="72">
        <f>IF('[1]Leakage Tree Data'!AD133&lt;&gt;"",'[1]Leakage Tree Data'!AD133,"")</f>
      </c>
      <c s="72">
        <f>IF('[1]Leakage Tree Data'!AE133&lt;&gt;"",'[1]Leakage Tree Data'!AE133,"")</f>
      </c>
      <c s="73">
        <f t="shared" si="28"/>
      </c>
      <c s="73">
        <f t="shared" si="29"/>
      </c>
      <c s="73">
        <f t="shared" si="30"/>
      </c>
      <c s="73">
        <f t="shared" si="31"/>
      </c>
      <c s="74">
        <f t="shared" si="32"/>
      </c>
      <c s="74">
        <f t="shared" si="33"/>
      </c>
      <c s="69" t="str">
        <f t="shared" si="17"/>
        <v>Total US - QVC.com</v>
      </c>
      <c s="69" t="str">
        <f t="shared" si="18"/>
        <v>Total US - Internet</v>
      </c>
      <c s="77"/>
    </row>
    <row r="235" spans="1:141" s="92" customFormat="1" ht="15">
      <c r="A2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235,$AL$8:$AL$15,1,FALSE))=TRUE,IF(AND(CV235=CW235,CV235&lt;&gt;"",DI$111&lt;&gt;"",DK235&lt;&gt;""),IF(CW$101="Y",DK235-IF(ISERROR(VLOOKUP(CV235,$CA$113:$DK$300,37,FALSE))=TRUE,0,IF(VLOOKUP(CV235,$CA$113:$DK$300,37,FALSE)="",0,VLOOKUP(CV235,$CA$113:$DK$300,37,FALSE))),DK235-IF(AND(CW$102="Y",CV235=$CW$111),DI$111,0)),""),"")</f>
      </c>
      <c s="76">
        <f>IF(ISERROR(VLOOKUP(CV235,$AL$8:$AL$15,1,FALSE))=TRUE,IF(CB235&lt;&gt;"",IF(CB235&gt;0,IF(Z$4&lt;&gt;"",MIN(4,RANK(CB235,$CB$111:$CB$300)),RANK(CB235,$CB$111:$CB$300)),""),""),"")</f>
      </c>
      <c s="75">
        <f>IF(ISERROR(VLOOKUP(CV235,$AL$8:$AL$15,1,FALSE))=TRUE,IF(AND(ISERROR(FIND("NeighMkt",$CX$102))=FALSE,LEFT($CW$111,10)="ALL OUTLET",$CA235&lt;&gt;"",DK235&lt;&gt;""),"",IF(AND($CV235&lt;&gt;$CW235,$CW235=CD$110),$DK235,"")),"")</f>
      </c>
      <c s="76">
        <f>IF(ISERROR(VLOOKUP(CV235,$AL$8:$AL$15,1,FALSE))=TRUE,IF(CD235&lt;&gt;"",IF(CD235&gt;0,RANK(CD235,$CD$111:$CD$300),""),""),"")</f>
      </c>
      <c s="75">
        <f>IF(ISERROR(VLOOKUP(CV235,$AL$8:$AL$15,1,FALSE))=TRUE,IF(AND(ISERROR(FIND("NeighMkt",$CX$102))=FALSE,LEFT($CW$111,10)="ALL OUTLET",$CA235&lt;&gt;"",DK235&lt;&gt;""),"",IF(AND($CV235&lt;&gt;$CW235,$CW235=CF$110),$DK235,"")),"")</f>
      </c>
      <c s="76">
        <f>IF(ISERROR(VLOOKUP(CV235,$AL$8:$AL$15,1,FALSE))=TRUE,IF(CF235&lt;&gt;"",IF(CF235&gt;0,RANK(CF235,$CF$111:$CF$300),""),""),"")</f>
      </c>
      <c s="75">
        <f>IF(ISERROR(VLOOKUP(CV235,$AL$8:$AL$15,1,FALSE))=TRUE,IF(AND(ISERROR(FIND("NeighMkt",$CX$102))=FALSE,LEFT($CW$111,10)="ALL OUTLET",$CA235&lt;&gt;"",DK235&lt;&gt;""),"",IF(AND($CV235&lt;&gt;$CW235,$CW235=CH$110),$DK235,"")),"")</f>
      </c>
      <c s="76">
        <f>IF(ISERROR(VLOOKUP(CV235,$AL$8:$AL$15,1,FALSE))=TRUE,IF(CH235&lt;&gt;"",IF(CH235&gt;0,RANK(CH235,$CH$111:$CH$300),""),""),"")</f>
      </c>
      <c s="75">
        <f>IF(ISERROR(VLOOKUP(CV235,$AL$8:$AL$15,1,FALSE))=TRUE,IF(AND(ISERROR(FIND("NeighMkt",$CX$102))=FALSE,LEFT($CW$111,10)="ALL OUTLET",$CA235&lt;&gt;"",DK235&lt;&gt;""),"",IF($Z$4="",IF(AND($CV235&lt;&gt;$CW235,$CW235=CJ$110),$DK235,""),IF(AND($CV235&lt;&gt;$CW235,$CW235&lt;&gt;CD$110,$CW235&lt;&gt;CF$110,$CW235&lt;&gt;CH$110,$CW235&lt;&gt;$CV$111),$DK235,""))),"")</f>
      </c>
      <c s="76">
        <f>IF(ISERROR(VLOOKUP(CV235,$AL$8:$AL$15,1,FALSE))=TRUE,IF(CJ235&lt;&gt;"",IF(CJ235&gt;0,RANK(CJ235,$CJ$111:$CJ$300),""),""),"")</f>
      </c>
      <c s="75">
        <f>IF(ISERROR(VLOOKUP(CV235,$AL$8:$AL$15,1,FALSE))=TRUE,IF(AND(CV235=CW235,CV235&lt;&gt;"",DJ235&lt;&gt;""),IF(AND(ISERROR(FIND("NeighMkt",$CX$102))=FALSE,LEFT($CW$111,10)="ALL OUTLET"),DJ235-IF(ISERROR(VLOOKUP(CV235,$CA$113:$DK$300,36,FALSE))=TRUE,0,IF(VLOOKUP(CV235,$CA$113:$DK$300,36,FALSE)="",0,VLOOKUP(CV235,$CA$113:$DK$300,36,FALSE))),DJ235),""),"")</f>
      </c>
      <c s="76">
        <f>IF(ISERROR(VLOOKUP(CV235,$AL$8:$AL$15,1,FALSE))=TRUE,IF(CL235&lt;&gt;"",IF(CL235&gt;0,IF($Z$4&lt;&gt;"",MIN(4,RANK(CL235,$CL$111:$CL$300)),RANK(CL235,$CL$111:$CL$300)),""),""),"")</f>
      </c>
      <c s="75">
        <f>IF(ISERROR(VLOOKUP(CV235,$AL$8:$AL$15,1,FALSE))=TRUE,IF(AND(ISERROR(FIND("NeighMkt",$CX$102))=FALSE,LEFT($CW$111,10)="ALL OUTLET",$CA235&lt;&gt;"",DJ235&lt;&gt;""),"",IF(AND($CV235&lt;&gt;$CW235,$CW235=CN$110),$DJ235,"")),"")</f>
      </c>
      <c s="76">
        <f>IF(ISERROR(VLOOKUP(CV235,$AL$8:$AL$15,1,FALSE))=TRUE,IF(CN235&lt;&gt;"",IF(CN235&gt;0,RANK(CN235,$CN$111:$CN$300),""),""),"")</f>
      </c>
      <c s="75">
        <f>IF(ISERROR(VLOOKUP(CV235,$AL$8:$AL$15,1,FALSE))=TRUE,IF(AND(ISERROR(FIND("NeighMkt",$CX$102))=FALSE,LEFT($CW$111,10)="ALL OUTLET",$CA235&lt;&gt;"",DJ235&lt;&gt;""),"",IF(AND($CV235&lt;&gt;$CW235,$CW235=CP$110),$DJ235,"")),"")</f>
      </c>
      <c s="76">
        <f>IF(ISERROR(VLOOKUP(CV235,$AL$8:$AL$15,1,FALSE))=TRUE,IF(CP235&lt;&gt;"",IF(CP235&gt;0,RANK(CP235,$CP$111:$CP$300),""),""),"")</f>
      </c>
      <c s="75">
        <f>IF(ISERROR(VLOOKUP(CV235,$AL$8:$AL$15,1,FALSE))=TRUE,IF(AND(ISERROR(FIND("NeighMkt",$CX$102))=FALSE,LEFT($CW$111,10)="ALL OUTLET",$CA235&lt;&gt;"",DJ235&lt;&gt;""),"",IF(AND($CV235&lt;&gt;$CW235,$CW235=CR$110),$DJ235,"")),"")</f>
      </c>
      <c s="76">
        <f>IF(ISERROR(VLOOKUP(CV235,$AL$8:$AL$15,1,FALSE))=TRUE,IF(CR235&lt;&gt;"",IF(CR235&gt;0,RANK(CR235,$CR$111:$CR$300),""),""),"")</f>
      </c>
      <c s="75">
        <f>IF(ISERROR(VLOOKUP(CV235,$AL$8:$AL$15,1,FALSE))=TRUE,IF(AND(ISERROR(FIND("NeighMkt",$CX$102))=FALSE,LEFT($CW$111,10)="ALL OUTLET",$CA235&lt;&gt;"",DJ235&lt;&gt;""),"",IF($Z$4="",IF(AND($CV235&lt;&gt;$CW235,$CW235=CT$110),$DJ235,""),IF(AND($CV235&lt;&gt;$CW235,$CW235&lt;&gt;CN$110,$CW235&lt;&gt;CP$110,$CW235&lt;&gt;CR$110,$CW235&lt;&gt;$CV$111),$DJ235,""))),"")</f>
      </c>
      <c s="76">
        <f>IF(ISERROR(VLOOKUP(CV235,$AL$8:$AL$15,1,FALSE))=TRUE,IF(CT235&lt;&gt;"",IF(CT235&gt;0,RANK(CT235,$CT$111:$CT$300),""),""),"")</f>
      </c>
      <c s="65" t="str">
        <f t="shared" si="19"/>
        <v>Riteaid.com</v>
      </c>
      <c s="65" t="str">
        <f t="shared" si="20"/>
        <v>Internet</v>
      </c>
      <c s="72" t="str">
        <f>IF('[1]Leakage Tree Data'!A134&lt;&gt;"",'[1]Leakage Tree Data'!A134,"")</f>
        <v>Total US - Riteaid.com</v>
      </c>
      <c s="72" t="str">
        <f>IF('[1]Leakage Tree Data'!B134&lt;&gt;"",'[1]Leakage Tree Data'!B134,"")</f>
        <v>Total US - Internet</v>
      </c>
      <c s="72">
        <f>IF('[1]Leakage Tree Data'!C134&lt;&gt;"",'[1]Leakage Tree Data'!C134,"")</f>
        <v>121171760.292236</v>
      </c>
      <c s="72">
        <f>IF('[1]Leakage Tree Data'!D134&lt;&gt;"",'[1]Leakage Tree Data'!D134,"")</f>
        <v>544360.467102051</v>
      </c>
      <c s="72">
        <f>IF('[1]Leakage Tree Data'!E134&lt;&gt;"",'[1]Leakage Tree Data'!E134,"")</f>
        <v>0.44924697453366</v>
      </c>
      <c s="72">
        <f>IF('[1]Leakage Tree Data'!F134&lt;&gt;"",'[1]Leakage Tree Data'!F134,"")</f>
        <v>120627399.825134</v>
      </c>
      <c s="72">
        <f>IF('[1]Leakage Tree Data'!G134&lt;&gt;"",'[1]Leakage Tree Data'!G134,"")</f>
        <v>99.5507530254663</v>
      </c>
      <c s="72">
        <f>IF('[1]Leakage Tree Data'!H134&lt;&gt;"",'[1]Leakage Tree Data'!H134,"")</f>
        <v>61518209.9918823</v>
      </c>
      <c s="72" t="str">
        <f>IF('[1]Leakage Tree Data'!I134&lt;&gt;"",'[1]Leakage Tree Data'!I134,"")</f>
        <v>Internet</v>
      </c>
      <c s="72">
        <f>IF('[1]Leakage Tree Data'!J134&lt;&gt;"",'[1]Leakage Tree Data'!J134,"")</f>
      </c>
      <c s="72">
        <f>IF('[1]Leakage Tree Data'!K134&lt;&gt;"",'[1]Leakage Tree Data'!K134,"")</f>
      </c>
      <c s="72">
        <f>IF('[1]Leakage Tree Data'!L134&lt;&gt;"",'[1]Leakage Tree Data'!L134,"")</f>
      </c>
      <c s="72">
        <f>IF('[1]Leakage Tree Data'!M134&lt;&gt;"",'[1]Leakage Tree Data'!M134,"")</f>
      </c>
      <c s="72">
        <f>IF('[1]Leakage Tree Data'!N134&lt;&gt;"",'[1]Leakage Tree Data'!N134,"")</f>
      </c>
      <c s="72">
        <f>IF('[1]Leakage Tree Data'!O134&lt;&gt;"",'[1]Leakage Tree Data'!O134,"")</f>
      </c>
      <c s="72">
        <f>IF('[1]Leakage Tree Data'!P134&lt;&gt;"",'[1]Leakage Tree Data'!P134,"")</f>
      </c>
      <c s="72">
        <f>IF('[1]Leakage Tree Data'!Q134&lt;&gt;"",'[1]Leakage Tree Data'!Q134,"")</f>
      </c>
      <c s="72">
        <f>IF('[1]Leakage Tree Data'!R134&lt;&gt;"",'[1]Leakage Tree Data'!R134,"")</f>
        <v>1017625.85098267</v>
      </c>
      <c s="72">
        <f>IF('[1]Leakage Tree Data'!S134&lt;&gt;"",'[1]Leakage Tree Data'!S134,"")</f>
        <v>-34904.2798461914</v>
      </c>
      <c s="72">
        <f>IF('[1]Leakage Tree Data'!T134&lt;&gt;"",'[1]Leakage Tree Data'!T134,"")</f>
        <v>-0.0328544110257848</v>
      </c>
      <c s="72">
        <f>IF('[1]Leakage Tree Data'!U134&lt;&gt;"",'[1]Leakage Tree Data'!U134,"")</f>
        <v>1052530.13082886</v>
      </c>
      <c s="72">
        <f>IF('[1]Leakage Tree Data'!V134&lt;&gt;"",'[1]Leakage Tree Data'!V134,"")</f>
        <v>0.0328544110257809</v>
      </c>
      <c s="72">
        <f>IF('[1]Leakage Tree Data'!W134&lt;&gt;"",'[1]Leakage Tree Data'!W134,"")</f>
        <v>-1855949.2237854</v>
      </c>
      <c s="72">
        <f>IF('[1]Leakage Tree Data'!X134&lt;&gt;"",'[1]Leakage Tree Data'!X134,"")</f>
      </c>
      <c s="72">
        <f>IF('[1]Leakage Tree Data'!Y134&lt;&gt;"",'[1]Leakage Tree Data'!Y134,"")</f>
      </c>
      <c s="72">
        <f>IF('[1]Leakage Tree Data'!Z134&lt;&gt;"",'[1]Leakage Tree Data'!Z134,"")</f>
      </c>
      <c s="72">
        <f>IF('[1]Leakage Tree Data'!AA134&lt;&gt;"",'[1]Leakage Tree Data'!AA134,"")</f>
      </c>
      <c s="72">
        <f>IF('[1]Leakage Tree Data'!AB134&lt;&gt;"",'[1]Leakage Tree Data'!AB134,"")</f>
      </c>
      <c s="72">
        <f>IF('[1]Leakage Tree Data'!AC134&lt;&gt;"",'[1]Leakage Tree Data'!AC134,"")</f>
      </c>
      <c s="72">
        <f>IF('[1]Leakage Tree Data'!AD134&lt;&gt;"",'[1]Leakage Tree Data'!AD134,"")</f>
      </c>
      <c s="72">
        <f>IF('[1]Leakage Tree Data'!AE134&lt;&gt;"",'[1]Leakage Tree Data'!AE134,"")</f>
      </c>
      <c s="73">
        <f t="shared" si="28"/>
      </c>
      <c s="73">
        <f t="shared" si="29"/>
      </c>
      <c s="73">
        <f t="shared" si="30"/>
      </c>
      <c s="73">
        <f t="shared" si="31"/>
      </c>
      <c s="74">
        <f t="shared" si="32"/>
      </c>
      <c s="74">
        <f t="shared" si="33"/>
      </c>
      <c s="69" t="str">
        <f t="shared" si="17"/>
        <v>Total US - Riteaid.com</v>
      </c>
      <c s="69" t="str">
        <f t="shared" si="18"/>
        <v>Total US - Internet</v>
      </c>
      <c s="77"/>
    </row>
    <row r="236" spans="1:141" s="92" customFormat="1" ht="15">
      <c r="A2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236,$AL$8:$AL$15,1,FALSE))=TRUE,IF(AND(CV236=CW236,CV236&lt;&gt;"",DI$111&lt;&gt;"",DK236&lt;&gt;""),IF(CW$101="Y",DK236-IF(ISERROR(VLOOKUP(CV236,$CA$113:$DK$300,37,FALSE))=TRUE,0,IF(VLOOKUP(CV236,$CA$113:$DK$300,37,FALSE)="",0,VLOOKUP(CV236,$CA$113:$DK$300,37,FALSE))),DK236-IF(AND(CW$102="Y",CV236=$CW$111),DI$111,0)),""),"")</f>
      </c>
      <c s="76">
        <f>IF(ISERROR(VLOOKUP(CV236,$AL$8:$AL$15,1,FALSE))=TRUE,IF(CB236&lt;&gt;"",IF(CB236&gt;0,IF(Z$4&lt;&gt;"",MIN(4,RANK(CB236,$CB$111:$CB$300)),RANK(CB236,$CB$111:$CB$300)),""),""),"")</f>
      </c>
      <c s="75">
        <f>IF(ISERROR(VLOOKUP(CV236,$AL$8:$AL$15,1,FALSE))=TRUE,IF(AND(ISERROR(FIND("NeighMkt",$CX$102))=FALSE,LEFT($CW$111,10)="ALL OUTLET",$CA236&lt;&gt;"",DK236&lt;&gt;""),"",IF(AND($CV236&lt;&gt;$CW236,$CW236=CD$110),$DK236,"")),"")</f>
      </c>
      <c s="76">
        <f>IF(ISERROR(VLOOKUP(CV236,$AL$8:$AL$15,1,FALSE))=TRUE,IF(CD236&lt;&gt;"",IF(CD236&gt;0,RANK(CD236,$CD$111:$CD$300),""),""),"")</f>
      </c>
      <c s="75">
        <f>IF(ISERROR(VLOOKUP(CV236,$AL$8:$AL$15,1,FALSE))=TRUE,IF(AND(ISERROR(FIND("NeighMkt",$CX$102))=FALSE,LEFT($CW$111,10)="ALL OUTLET",$CA236&lt;&gt;"",DK236&lt;&gt;""),"",IF(AND($CV236&lt;&gt;$CW236,$CW236=CF$110),$DK236,"")),"")</f>
      </c>
      <c s="76">
        <f>IF(ISERROR(VLOOKUP(CV236,$AL$8:$AL$15,1,FALSE))=TRUE,IF(CF236&lt;&gt;"",IF(CF236&gt;0,RANK(CF236,$CF$111:$CF$300),""),""),"")</f>
      </c>
      <c s="75">
        <f>IF(ISERROR(VLOOKUP(CV236,$AL$8:$AL$15,1,FALSE))=TRUE,IF(AND(ISERROR(FIND("NeighMkt",$CX$102))=FALSE,LEFT($CW$111,10)="ALL OUTLET",$CA236&lt;&gt;"",DK236&lt;&gt;""),"",IF(AND($CV236&lt;&gt;$CW236,$CW236=CH$110),$DK236,"")),"")</f>
      </c>
      <c s="76">
        <f>IF(ISERROR(VLOOKUP(CV236,$AL$8:$AL$15,1,FALSE))=TRUE,IF(CH236&lt;&gt;"",IF(CH236&gt;0,RANK(CH236,$CH$111:$CH$300),""),""),"")</f>
      </c>
      <c s="75">
        <f>IF(ISERROR(VLOOKUP(CV236,$AL$8:$AL$15,1,FALSE))=TRUE,IF(AND(ISERROR(FIND("NeighMkt",$CX$102))=FALSE,LEFT($CW$111,10)="ALL OUTLET",$CA236&lt;&gt;"",DK236&lt;&gt;""),"",IF($Z$4="",IF(AND($CV236&lt;&gt;$CW236,$CW236=CJ$110),$DK236,""),IF(AND($CV236&lt;&gt;$CW236,$CW236&lt;&gt;CD$110,$CW236&lt;&gt;CF$110,$CW236&lt;&gt;CH$110,$CW236&lt;&gt;$CV$111),$DK236,""))),"")</f>
      </c>
      <c s="76">
        <f>IF(ISERROR(VLOOKUP(CV236,$AL$8:$AL$15,1,FALSE))=TRUE,IF(CJ236&lt;&gt;"",IF(CJ236&gt;0,RANK(CJ236,$CJ$111:$CJ$300),""),""),"")</f>
      </c>
      <c s="75">
        <f>IF(ISERROR(VLOOKUP(CV236,$AL$8:$AL$15,1,FALSE))=TRUE,IF(AND(CV236=CW236,CV236&lt;&gt;"",DJ236&lt;&gt;""),IF(AND(ISERROR(FIND("NeighMkt",$CX$102))=FALSE,LEFT($CW$111,10)="ALL OUTLET"),DJ236-IF(ISERROR(VLOOKUP(CV236,$CA$113:$DK$300,36,FALSE))=TRUE,0,IF(VLOOKUP(CV236,$CA$113:$DK$300,36,FALSE)="",0,VLOOKUP(CV236,$CA$113:$DK$300,36,FALSE))),DJ236),""),"")</f>
      </c>
      <c s="76">
        <f>IF(ISERROR(VLOOKUP(CV236,$AL$8:$AL$15,1,FALSE))=TRUE,IF(CL236&lt;&gt;"",IF(CL236&gt;0,IF($Z$4&lt;&gt;"",MIN(4,RANK(CL236,$CL$111:$CL$300)),RANK(CL236,$CL$111:$CL$300)),""),""),"")</f>
      </c>
      <c s="75">
        <f>IF(ISERROR(VLOOKUP(CV236,$AL$8:$AL$15,1,FALSE))=TRUE,IF(AND(ISERROR(FIND("NeighMkt",$CX$102))=FALSE,LEFT($CW$111,10)="ALL OUTLET",$CA236&lt;&gt;"",DJ236&lt;&gt;""),"",IF(AND($CV236&lt;&gt;$CW236,$CW236=CN$110),$DJ236,"")),"")</f>
      </c>
      <c s="76">
        <f>IF(ISERROR(VLOOKUP(CV236,$AL$8:$AL$15,1,FALSE))=TRUE,IF(CN236&lt;&gt;"",IF(CN236&gt;0,RANK(CN236,$CN$111:$CN$300),""),""),"")</f>
      </c>
      <c s="75">
        <f>IF(ISERROR(VLOOKUP(CV236,$AL$8:$AL$15,1,FALSE))=TRUE,IF(AND(ISERROR(FIND("NeighMkt",$CX$102))=FALSE,LEFT($CW$111,10)="ALL OUTLET",$CA236&lt;&gt;"",DJ236&lt;&gt;""),"",IF(AND($CV236&lt;&gt;$CW236,$CW236=CP$110),$DJ236,"")),"")</f>
      </c>
      <c s="76">
        <f>IF(ISERROR(VLOOKUP(CV236,$AL$8:$AL$15,1,FALSE))=TRUE,IF(CP236&lt;&gt;"",IF(CP236&gt;0,RANK(CP236,$CP$111:$CP$300),""),""),"")</f>
      </c>
      <c s="75">
        <f>IF(ISERROR(VLOOKUP(CV236,$AL$8:$AL$15,1,FALSE))=TRUE,IF(AND(ISERROR(FIND("NeighMkt",$CX$102))=FALSE,LEFT($CW$111,10)="ALL OUTLET",$CA236&lt;&gt;"",DJ236&lt;&gt;""),"",IF(AND($CV236&lt;&gt;$CW236,$CW236=CR$110),$DJ236,"")),"")</f>
      </c>
      <c s="76">
        <f>IF(ISERROR(VLOOKUP(CV236,$AL$8:$AL$15,1,FALSE))=TRUE,IF(CR236&lt;&gt;"",IF(CR236&gt;0,RANK(CR236,$CR$111:$CR$300),""),""),"")</f>
      </c>
      <c s="75">
        <f>IF(ISERROR(VLOOKUP(CV236,$AL$8:$AL$15,1,FALSE))=TRUE,IF(AND(ISERROR(FIND("NeighMkt",$CX$102))=FALSE,LEFT($CW$111,10)="ALL OUTLET",$CA236&lt;&gt;"",DJ236&lt;&gt;""),"",IF($Z$4="",IF(AND($CV236&lt;&gt;$CW236,$CW236=CT$110),$DJ236,""),IF(AND($CV236&lt;&gt;$CW236,$CW236&lt;&gt;CN$110,$CW236&lt;&gt;CP$110,$CW236&lt;&gt;CR$110,$CW236&lt;&gt;$CV$111),$DJ236,""))),"")</f>
      </c>
      <c s="76">
        <f>IF(ISERROR(VLOOKUP(CV236,$AL$8:$AL$15,1,FALSE))=TRUE,IF(CT236&lt;&gt;"",IF(CT236&gt;0,RANK(CT236,$CT$111:$CT$300),""),""),"")</f>
      </c>
      <c s="65" t="str">
        <f t="shared" si="19"/>
        <v>Safeway.com</v>
      </c>
      <c s="65" t="str">
        <f t="shared" si="20"/>
        <v>Internet</v>
      </c>
      <c s="72" t="str">
        <f>IF('[1]Leakage Tree Data'!A135&lt;&gt;"",'[1]Leakage Tree Data'!A135,"")</f>
        <v>Total US - Safeway.com</v>
      </c>
      <c s="72" t="str">
        <f>IF('[1]Leakage Tree Data'!B135&lt;&gt;"",'[1]Leakage Tree Data'!B135,"")</f>
        <v>Total US - Internet</v>
      </c>
      <c s="72">
        <f>IF('[1]Leakage Tree Data'!C135&lt;&gt;"",'[1]Leakage Tree Data'!C135,"")</f>
        <v>121171760.292236</v>
      </c>
      <c s="72">
        <f>IF('[1]Leakage Tree Data'!D135&lt;&gt;"",'[1]Leakage Tree Data'!D135,"")</f>
        <v>874812.280456543</v>
      </c>
      <c s="72">
        <f>IF('[1]Leakage Tree Data'!E135&lt;&gt;"",'[1]Leakage Tree Data'!E135,"")</f>
        <v>0.721960528052668</v>
      </c>
      <c s="72">
        <f>IF('[1]Leakage Tree Data'!F135&lt;&gt;"",'[1]Leakage Tree Data'!F135,"")</f>
        <v>120296948.01178</v>
      </c>
      <c s="72">
        <f>IF('[1]Leakage Tree Data'!G135&lt;&gt;"",'[1]Leakage Tree Data'!G135,"")</f>
        <v>99.2780394719473</v>
      </c>
      <c s="72">
        <f>IF('[1]Leakage Tree Data'!H135&lt;&gt;"",'[1]Leakage Tree Data'!H135,"")</f>
        <v>61518209.9918823</v>
      </c>
      <c s="72" t="str">
        <f>IF('[1]Leakage Tree Data'!I135&lt;&gt;"",'[1]Leakage Tree Data'!I135,"")</f>
        <v>Internet</v>
      </c>
      <c s="72">
        <f>IF('[1]Leakage Tree Data'!J135&lt;&gt;"",'[1]Leakage Tree Data'!J135,"")</f>
      </c>
      <c s="72">
        <f>IF('[1]Leakage Tree Data'!K135&lt;&gt;"",'[1]Leakage Tree Data'!K135,"")</f>
      </c>
      <c s="72">
        <f>IF('[1]Leakage Tree Data'!L135&lt;&gt;"",'[1]Leakage Tree Data'!L135,"")</f>
      </c>
      <c s="72">
        <f>IF('[1]Leakage Tree Data'!M135&lt;&gt;"",'[1]Leakage Tree Data'!M135,"")</f>
      </c>
      <c s="72">
        <f>IF('[1]Leakage Tree Data'!N135&lt;&gt;"",'[1]Leakage Tree Data'!N135,"")</f>
      </c>
      <c s="72">
        <f>IF('[1]Leakage Tree Data'!O135&lt;&gt;"",'[1]Leakage Tree Data'!O135,"")</f>
      </c>
      <c s="72">
        <f>IF('[1]Leakage Tree Data'!P135&lt;&gt;"",'[1]Leakage Tree Data'!P135,"")</f>
      </c>
      <c s="72">
        <f>IF('[1]Leakage Tree Data'!Q135&lt;&gt;"",'[1]Leakage Tree Data'!Q135,"")</f>
      </c>
      <c s="72">
        <f>IF('[1]Leakage Tree Data'!R135&lt;&gt;"",'[1]Leakage Tree Data'!R135,"")</f>
        <v>1017625.85098267</v>
      </c>
      <c s="72">
        <f>IF('[1]Leakage Tree Data'!S135&lt;&gt;"",'[1]Leakage Tree Data'!S135,"")</f>
        <v>14483.1759643555</v>
      </c>
      <c s="72">
        <f>IF('[1]Leakage Tree Data'!T135&lt;&gt;"",'[1]Leakage Tree Data'!T135,"")</f>
        <v>0.00593930373697593</v>
      </c>
      <c s="72">
        <f>IF('[1]Leakage Tree Data'!U135&lt;&gt;"",'[1]Leakage Tree Data'!U135,"")</f>
        <v>1003142.67501831</v>
      </c>
      <c s="72">
        <f>IF('[1]Leakage Tree Data'!V135&lt;&gt;"",'[1]Leakage Tree Data'!V135,"")</f>
        <v>-0.00593930373696594</v>
      </c>
      <c s="72">
        <f>IF('[1]Leakage Tree Data'!W135&lt;&gt;"",'[1]Leakage Tree Data'!W135,"")</f>
        <v>-1855949.2237854</v>
      </c>
      <c s="72">
        <f>IF('[1]Leakage Tree Data'!X135&lt;&gt;"",'[1]Leakage Tree Data'!X135,"")</f>
      </c>
      <c s="72">
        <f>IF('[1]Leakage Tree Data'!Y135&lt;&gt;"",'[1]Leakage Tree Data'!Y135,"")</f>
      </c>
      <c s="72">
        <f>IF('[1]Leakage Tree Data'!Z135&lt;&gt;"",'[1]Leakage Tree Data'!Z135,"")</f>
      </c>
      <c s="72">
        <f>IF('[1]Leakage Tree Data'!AA135&lt;&gt;"",'[1]Leakage Tree Data'!AA135,"")</f>
      </c>
      <c s="72">
        <f>IF('[1]Leakage Tree Data'!AB135&lt;&gt;"",'[1]Leakage Tree Data'!AB135,"")</f>
      </c>
      <c s="72">
        <f>IF('[1]Leakage Tree Data'!AC135&lt;&gt;"",'[1]Leakage Tree Data'!AC135,"")</f>
      </c>
      <c s="72">
        <f>IF('[1]Leakage Tree Data'!AD135&lt;&gt;"",'[1]Leakage Tree Data'!AD135,"")</f>
      </c>
      <c s="72">
        <f>IF('[1]Leakage Tree Data'!AE135&lt;&gt;"",'[1]Leakage Tree Data'!AE135,"")</f>
      </c>
      <c s="73">
        <f t="shared" si="28"/>
      </c>
      <c s="73">
        <f t="shared" si="29"/>
      </c>
      <c s="73">
        <f t="shared" si="30"/>
      </c>
      <c s="73">
        <f t="shared" si="31"/>
      </c>
      <c s="74">
        <f t="shared" si="32"/>
      </c>
      <c s="74">
        <f t="shared" si="33"/>
      </c>
      <c s="69" t="str">
        <f t="shared" si="17"/>
        <v>Total US - Safeway.com</v>
      </c>
      <c s="69" t="str">
        <f t="shared" si="18"/>
        <v>Total US - Internet</v>
      </c>
      <c s="77"/>
    </row>
    <row r="237" spans="1:141" s="92" customFormat="1" ht="15">
      <c r="A2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237,$AL$8:$AL$15,1,FALSE))=TRUE,IF(AND(CV237=CW237,CV237&lt;&gt;"",DI$111&lt;&gt;"",DK237&lt;&gt;""),IF(CW$101="Y",DK237-IF(ISERROR(VLOOKUP(CV237,$CA$113:$DK$300,37,FALSE))=TRUE,0,IF(VLOOKUP(CV237,$CA$113:$DK$300,37,FALSE)="",0,VLOOKUP(CV237,$CA$113:$DK$300,37,FALSE))),DK237-IF(AND(CW$102="Y",CV237=$CW$111),DI$111,0)),""),"")</f>
      </c>
      <c s="76">
        <f>IF(ISERROR(VLOOKUP(CV237,$AL$8:$AL$15,1,FALSE))=TRUE,IF(CB237&lt;&gt;"",IF(CB237&gt;0,IF(Z$4&lt;&gt;"",MIN(4,RANK(CB237,$CB$111:$CB$300)),RANK(CB237,$CB$111:$CB$300)),""),""),"")</f>
      </c>
      <c s="75">
        <f>IF(ISERROR(VLOOKUP(CV237,$AL$8:$AL$15,1,FALSE))=TRUE,IF(AND(ISERROR(FIND("NeighMkt",$CX$102))=FALSE,LEFT($CW$111,10)="ALL OUTLET",$CA237&lt;&gt;"",DK237&lt;&gt;""),"",IF(AND($CV237&lt;&gt;$CW237,$CW237=CD$110),$DK237,"")),"")</f>
      </c>
      <c s="76">
        <f>IF(ISERROR(VLOOKUP(CV237,$AL$8:$AL$15,1,FALSE))=TRUE,IF(CD237&lt;&gt;"",IF(CD237&gt;0,RANK(CD237,$CD$111:$CD$300),""),""),"")</f>
      </c>
      <c s="75">
        <f>IF(ISERROR(VLOOKUP(CV237,$AL$8:$AL$15,1,FALSE))=TRUE,IF(AND(ISERROR(FIND("NeighMkt",$CX$102))=FALSE,LEFT($CW$111,10)="ALL OUTLET",$CA237&lt;&gt;"",DK237&lt;&gt;""),"",IF(AND($CV237&lt;&gt;$CW237,$CW237=CF$110),$DK237,"")),"")</f>
      </c>
      <c s="76">
        <f>IF(ISERROR(VLOOKUP(CV237,$AL$8:$AL$15,1,FALSE))=TRUE,IF(CF237&lt;&gt;"",IF(CF237&gt;0,RANK(CF237,$CF$111:$CF$300),""),""),"")</f>
      </c>
      <c s="75">
        <f>IF(ISERROR(VLOOKUP(CV237,$AL$8:$AL$15,1,FALSE))=TRUE,IF(AND(ISERROR(FIND("NeighMkt",$CX$102))=FALSE,LEFT($CW$111,10)="ALL OUTLET",$CA237&lt;&gt;"",DK237&lt;&gt;""),"",IF(AND($CV237&lt;&gt;$CW237,$CW237=CH$110),$DK237,"")),"")</f>
      </c>
      <c s="76">
        <f>IF(ISERROR(VLOOKUP(CV237,$AL$8:$AL$15,1,FALSE))=TRUE,IF(CH237&lt;&gt;"",IF(CH237&gt;0,RANK(CH237,$CH$111:$CH$300),""),""),"")</f>
      </c>
      <c s="75">
        <f>IF(ISERROR(VLOOKUP(CV237,$AL$8:$AL$15,1,FALSE))=TRUE,IF(AND(ISERROR(FIND("NeighMkt",$CX$102))=FALSE,LEFT($CW$111,10)="ALL OUTLET",$CA237&lt;&gt;"",DK237&lt;&gt;""),"",IF($Z$4="",IF(AND($CV237&lt;&gt;$CW237,$CW237=CJ$110),$DK237,""),IF(AND($CV237&lt;&gt;$CW237,$CW237&lt;&gt;CD$110,$CW237&lt;&gt;CF$110,$CW237&lt;&gt;CH$110,$CW237&lt;&gt;$CV$111),$DK237,""))),"")</f>
      </c>
      <c s="76">
        <f>IF(ISERROR(VLOOKUP(CV237,$AL$8:$AL$15,1,FALSE))=TRUE,IF(CJ237&lt;&gt;"",IF(CJ237&gt;0,RANK(CJ237,$CJ$111:$CJ$300),""),""),"")</f>
      </c>
      <c s="75">
        <f>IF(ISERROR(VLOOKUP(CV237,$AL$8:$AL$15,1,FALSE))=TRUE,IF(AND(CV237=CW237,CV237&lt;&gt;"",DJ237&lt;&gt;""),IF(AND(ISERROR(FIND("NeighMkt",$CX$102))=FALSE,LEFT($CW$111,10)="ALL OUTLET"),DJ237-IF(ISERROR(VLOOKUP(CV237,$CA$113:$DK$300,36,FALSE))=TRUE,0,IF(VLOOKUP(CV237,$CA$113:$DK$300,36,FALSE)="",0,VLOOKUP(CV237,$CA$113:$DK$300,36,FALSE))),DJ237),""),"")</f>
      </c>
      <c s="76">
        <f>IF(ISERROR(VLOOKUP(CV237,$AL$8:$AL$15,1,FALSE))=TRUE,IF(CL237&lt;&gt;"",IF(CL237&gt;0,IF($Z$4&lt;&gt;"",MIN(4,RANK(CL237,$CL$111:$CL$300)),RANK(CL237,$CL$111:$CL$300)),""),""),"")</f>
      </c>
      <c s="75">
        <f>IF(ISERROR(VLOOKUP(CV237,$AL$8:$AL$15,1,FALSE))=TRUE,IF(AND(ISERROR(FIND("NeighMkt",$CX$102))=FALSE,LEFT($CW$111,10)="ALL OUTLET",$CA237&lt;&gt;"",DJ237&lt;&gt;""),"",IF(AND($CV237&lt;&gt;$CW237,$CW237=CN$110),$DJ237,"")),"")</f>
      </c>
      <c s="76">
        <f>IF(ISERROR(VLOOKUP(CV237,$AL$8:$AL$15,1,FALSE))=TRUE,IF(CN237&lt;&gt;"",IF(CN237&gt;0,RANK(CN237,$CN$111:$CN$300),""),""),"")</f>
      </c>
      <c s="75">
        <f>IF(ISERROR(VLOOKUP(CV237,$AL$8:$AL$15,1,FALSE))=TRUE,IF(AND(ISERROR(FIND("NeighMkt",$CX$102))=FALSE,LEFT($CW$111,10)="ALL OUTLET",$CA237&lt;&gt;"",DJ237&lt;&gt;""),"",IF(AND($CV237&lt;&gt;$CW237,$CW237=CP$110),$DJ237,"")),"")</f>
      </c>
      <c s="76">
        <f>IF(ISERROR(VLOOKUP(CV237,$AL$8:$AL$15,1,FALSE))=TRUE,IF(CP237&lt;&gt;"",IF(CP237&gt;0,RANK(CP237,$CP$111:$CP$300),""),""),"")</f>
      </c>
      <c s="75">
        <f>IF(ISERROR(VLOOKUP(CV237,$AL$8:$AL$15,1,FALSE))=TRUE,IF(AND(ISERROR(FIND("NeighMkt",$CX$102))=FALSE,LEFT($CW$111,10)="ALL OUTLET",$CA237&lt;&gt;"",DJ237&lt;&gt;""),"",IF(AND($CV237&lt;&gt;$CW237,$CW237=CR$110),$DJ237,"")),"")</f>
      </c>
      <c s="76">
        <f>IF(ISERROR(VLOOKUP(CV237,$AL$8:$AL$15,1,FALSE))=TRUE,IF(CR237&lt;&gt;"",IF(CR237&gt;0,RANK(CR237,$CR$111:$CR$300),""),""),"")</f>
      </c>
      <c s="75">
        <f>IF(ISERROR(VLOOKUP(CV237,$AL$8:$AL$15,1,FALSE))=TRUE,IF(AND(ISERROR(FIND("NeighMkt",$CX$102))=FALSE,LEFT($CW$111,10)="ALL OUTLET",$CA237&lt;&gt;"",DJ237&lt;&gt;""),"",IF($Z$4="",IF(AND($CV237&lt;&gt;$CW237,$CW237=CT$110),$DJ237,""),IF(AND($CV237&lt;&gt;$CW237,$CW237&lt;&gt;CN$110,$CW237&lt;&gt;CP$110,$CW237&lt;&gt;CR$110,$CW237&lt;&gt;$CV$111),$DJ237,""))),"")</f>
        <v>4093044.57958984</v>
      </c>
      <c s="76">
        <f>IF(ISERROR(VLOOKUP(CV237,$AL$8:$AL$15,1,FALSE))=TRUE,IF(CT237&lt;&gt;"",IF(CT237&gt;0,RANK(CT237,$CT$111:$CT$300),""),""),"")</f>
        <v>13</v>
      </c>
      <c s="65" t="str">
        <f t="shared" si="19"/>
        <v>SamsClub.com</v>
      </c>
      <c s="65" t="str">
        <f t="shared" si="20"/>
        <v>Internet</v>
      </c>
      <c s="72" t="str">
        <f>IF('[1]Leakage Tree Data'!A136&lt;&gt;"",'[1]Leakage Tree Data'!A136,"")</f>
        <v>Total US - SamsClub.com</v>
      </c>
      <c s="72" t="str">
        <f>IF('[1]Leakage Tree Data'!B136&lt;&gt;"",'[1]Leakage Tree Data'!B136,"")</f>
        <v>Total US - Internet</v>
      </c>
      <c s="72">
        <f>IF('[1]Leakage Tree Data'!C136&lt;&gt;"",'[1]Leakage Tree Data'!C136,"")</f>
        <v>121171760.292236</v>
      </c>
      <c s="72">
        <f>IF('[1]Leakage Tree Data'!D136&lt;&gt;"",'[1]Leakage Tree Data'!D136,"")</f>
        <v>3003065.34979248</v>
      </c>
      <c s="72">
        <f>IF('[1]Leakage Tree Data'!E136&lt;&gt;"",'[1]Leakage Tree Data'!E136,"")</f>
        <v>2.47835414996847</v>
      </c>
      <c s="72">
        <f>IF('[1]Leakage Tree Data'!F136&lt;&gt;"",'[1]Leakage Tree Data'!F136,"")</f>
        <v>118168694.942444</v>
      </c>
      <c s="72">
        <f>IF('[1]Leakage Tree Data'!G136&lt;&gt;"",'[1]Leakage Tree Data'!G136,"")</f>
        <v>97.5216458500315</v>
      </c>
      <c s="72">
        <f>IF('[1]Leakage Tree Data'!H136&lt;&gt;"",'[1]Leakage Tree Data'!H136,"")</f>
        <v>61518209.9918823</v>
      </c>
      <c s="72" t="str">
        <f>IF('[1]Leakage Tree Data'!I136&lt;&gt;"",'[1]Leakage Tree Data'!I136,"")</f>
        <v>Internet</v>
      </c>
      <c s="72">
        <f>IF('[1]Leakage Tree Data'!J136&lt;&gt;"",'[1]Leakage Tree Data'!J136,"")</f>
        <v>99.6813066661854</v>
      </c>
      <c s="72">
        <f>IF('[1]Leakage Tree Data'!K136&lt;&gt;"",'[1]Leakage Tree Data'!K136,"")</f>
        <v>196054.434326172</v>
      </c>
      <c s="72">
        <f>IF('[1]Leakage Tree Data'!L136&lt;&gt;"",'[1]Leakage Tree Data'!L136,"")</f>
      </c>
      <c s="72">
        <f>IF('[1]Leakage Tree Data'!M136&lt;&gt;"",'[1]Leakage Tree Data'!M136,"")</f>
        <v>4093044.57958984</v>
      </c>
      <c s="72">
        <f>IF('[1]Leakage Tree Data'!N136&lt;&gt;"",'[1]Leakage Tree Data'!N136,"")</f>
      </c>
      <c s="72">
        <f>IF('[1]Leakage Tree Data'!O136&lt;&gt;"",'[1]Leakage Tree Data'!O136,"")</f>
        <v>14.7013792702486</v>
      </c>
      <c s="72">
        <f>IF('[1]Leakage Tree Data'!P136&lt;&gt;"",'[1]Leakage Tree Data'!P136,"")</f>
        <v>850761.788619135</v>
      </c>
      <c s="72">
        <f>IF('[1]Leakage Tree Data'!Q136&lt;&gt;"",'[1]Leakage Tree Data'!Q136,"")</f>
      </c>
      <c s="72">
        <f>IF('[1]Leakage Tree Data'!R136&lt;&gt;"",'[1]Leakage Tree Data'!R136,"")</f>
        <v>1017625.85098267</v>
      </c>
      <c s="72">
        <f>IF('[1]Leakage Tree Data'!S136&lt;&gt;"",'[1]Leakage Tree Data'!S136,"")</f>
        <v>145751.731445313</v>
      </c>
      <c s="72">
        <f>IF('[1]Leakage Tree Data'!T136&lt;&gt;"",'[1]Leakage Tree Data'!T136,"")</f>
        <v>0.100313950491036</v>
      </c>
      <c s="72">
        <f>IF('[1]Leakage Tree Data'!U136&lt;&gt;"",'[1]Leakage Tree Data'!U136,"")</f>
        <v>871874.119537354</v>
      </c>
      <c s="72">
        <f>IF('[1]Leakage Tree Data'!V136&lt;&gt;"",'[1]Leakage Tree Data'!V136,"")</f>
        <v>-0.100313950491042</v>
      </c>
      <c s="72">
        <f>IF('[1]Leakage Tree Data'!W136&lt;&gt;"",'[1]Leakage Tree Data'!W136,"")</f>
        <v>-1855949.2237854</v>
      </c>
      <c s="72">
        <f>IF('[1]Leakage Tree Data'!X136&lt;&gt;"",'[1]Leakage Tree Data'!X136,"")</f>
      </c>
      <c s="72">
        <f>IF('[1]Leakage Tree Data'!Y136&lt;&gt;"",'[1]Leakage Tree Data'!Y136,"")</f>
        <v>-0.000346890608383887</v>
      </c>
      <c s="72">
        <f>IF('[1]Leakage Tree Data'!Z136&lt;&gt;"",'[1]Leakage Tree Data'!Z136,"")</f>
        <v>-5694.94744873047</v>
      </c>
      <c s="72">
        <f>IF('[1]Leakage Tree Data'!AA136&lt;&gt;"",'[1]Leakage Tree Data'!AA136,"")</f>
      </c>
      <c s="72">
        <f>IF('[1]Leakage Tree Data'!AB136&lt;&gt;"",'[1]Leakage Tree Data'!AB136,"")</f>
        <v>691797.208862305</v>
      </c>
      <c s="72">
        <f>IF('[1]Leakage Tree Data'!AC136&lt;&gt;"",'[1]Leakage Tree Data'!AC136,"")</f>
      </c>
      <c s="72">
        <f>IF('[1]Leakage Tree Data'!AD136&lt;&gt;"",'[1]Leakage Tree Data'!AD136,"")</f>
        <v>-1.91592935882234</v>
      </c>
      <c s="72">
        <f>IF('[1]Leakage Tree Data'!AE136&lt;&gt;"",'[1]Leakage Tree Data'!AE136,"")</f>
      </c>
      <c s="73">
        <f t="shared" si="28"/>
      </c>
      <c s="73">
        <f t="shared" si="29"/>
      </c>
      <c s="73">
        <f t="shared" si="30"/>
      </c>
      <c s="73">
        <f t="shared" si="31"/>
      </c>
      <c s="74">
        <f t="shared" si="32"/>
      </c>
      <c s="74">
        <f t="shared" si="33"/>
      </c>
      <c s="69" t="str">
        <f t="shared" si="17"/>
        <v>Total US - SamsClub.com</v>
      </c>
      <c s="69" t="str">
        <f t="shared" si="18"/>
        <v>Total US - Internet</v>
      </c>
      <c s="77"/>
    </row>
    <row r="238" spans="1:141" s="92" customFormat="1" ht="15">
      <c r="A2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238,$AL$8:$AL$15,1,FALSE))=TRUE,IF(AND(CV238=CW238,CV238&lt;&gt;"",DI$111&lt;&gt;"",DK238&lt;&gt;""),IF(CW$101="Y",DK238-IF(ISERROR(VLOOKUP(CV238,$CA$113:$DK$300,37,FALSE))=TRUE,0,IF(VLOOKUP(CV238,$CA$113:$DK$300,37,FALSE)="",0,VLOOKUP(CV238,$CA$113:$DK$300,37,FALSE))),DK238-IF(AND(CW$102="Y",CV238=$CW$111),DI$111,0)),""),"")</f>
      </c>
      <c s="76">
        <f>IF(ISERROR(VLOOKUP(CV238,$AL$8:$AL$15,1,FALSE))=TRUE,IF(CB238&lt;&gt;"",IF(CB238&gt;0,IF(Z$4&lt;&gt;"",MIN(4,RANK(CB238,$CB$111:$CB$300)),RANK(CB238,$CB$111:$CB$300)),""),""),"")</f>
      </c>
      <c s="75">
        <f>IF(ISERROR(VLOOKUP(CV238,$AL$8:$AL$15,1,FALSE))=TRUE,IF(AND(ISERROR(FIND("NeighMkt",$CX$102))=FALSE,LEFT($CW$111,10)="ALL OUTLET",$CA238&lt;&gt;"",DK238&lt;&gt;""),"",IF(AND($CV238&lt;&gt;$CW238,$CW238=CD$110),$DK238,"")),"")</f>
      </c>
      <c s="76">
        <f>IF(ISERROR(VLOOKUP(CV238,$AL$8:$AL$15,1,FALSE))=TRUE,IF(CD238&lt;&gt;"",IF(CD238&gt;0,RANK(CD238,$CD$111:$CD$300),""),""),"")</f>
      </c>
      <c s="75">
        <f>IF(ISERROR(VLOOKUP(CV238,$AL$8:$AL$15,1,FALSE))=TRUE,IF(AND(ISERROR(FIND("NeighMkt",$CX$102))=FALSE,LEFT($CW$111,10)="ALL OUTLET",$CA238&lt;&gt;"",DK238&lt;&gt;""),"",IF(AND($CV238&lt;&gt;$CW238,$CW238=CF$110),$DK238,"")),"")</f>
      </c>
      <c s="76">
        <f>IF(ISERROR(VLOOKUP(CV238,$AL$8:$AL$15,1,FALSE))=TRUE,IF(CF238&lt;&gt;"",IF(CF238&gt;0,RANK(CF238,$CF$111:$CF$300),""),""),"")</f>
      </c>
      <c s="75">
        <f>IF(ISERROR(VLOOKUP(CV238,$AL$8:$AL$15,1,FALSE))=TRUE,IF(AND(ISERROR(FIND("NeighMkt",$CX$102))=FALSE,LEFT($CW$111,10)="ALL OUTLET",$CA238&lt;&gt;"",DK238&lt;&gt;""),"",IF(AND($CV238&lt;&gt;$CW238,$CW238=CH$110),$DK238,"")),"")</f>
      </c>
      <c s="76">
        <f>IF(ISERROR(VLOOKUP(CV238,$AL$8:$AL$15,1,FALSE))=TRUE,IF(CH238&lt;&gt;"",IF(CH238&gt;0,RANK(CH238,$CH$111:$CH$300),""),""),"")</f>
      </c>
      <c s="75">
        <f>IF(ISERROR(VLOOKUP(CV238,$AL$8:$AL$15,1,FALSE))=TRUE,IF(AND(ISERROR(FIND("NeighMkt",$CX$102))=FALSE,LEFT($CW$111,10)="ALL OUTLET",$CA238&lt;&gt;"",DK238&lt;&gt;""),"",IF($Z$4="",IF(AND($CV238&lt;&gt;$CW238,$CW238=CJ$110),$DK238,""),IF(AND($CV238&lt;&gt;$CW238,$CW238&lt;&gt;CD$110,$CW238&lt;&gt;CF$110,$CW238&lt;&gt;CH$110,$CW238&lt;&gt;$CV$111),$DK238,""))),"")</f>
      </c>
      <c s="76">
        <f>IF(ISERROR(VLOOKUP(CV238,$AL$8:$AL$15,1,FALSE))=TRUE,IF(CJ238&lt;&gt;"",IF(CJ238&gt;0,RANK(CJ238,$CJ$111:$CJ$300),""),""),"")</f>
      </c>
      <c s="75">
        <f>IF(ISERROR(VLOOKUP(CV238,$AL$8:$AL$15,1,FALSE))=TRUE,IF(AND(CV238=CW238,CV238&lt;&gt;"",DJ238&lt;&gt;""),IF(AND(ISERROR(FIND("NeighMkt",$CX$102))=FALSE,LEFT($CW$111,10)="ALL OUTLET"),DJ238-IF(ISERROR(VLOOKUP(CV238,$CA$113:$DK$300,36,FALSE))=TRUE,0,IF(VLOOKUP(CV238,$CA$113:$DK$300,36,FALSE)="",0,VLOOKUP(CV238,$CA$113:$DK$300,36,FALSE))),DJ238),""),"")</f>
      </c>
      <c s="76">
        <f>IF(ISERROR(VLOOKUP(CV238,$AL$8:$AL$15,1,FALSE))=TRUE,IF(CL238&lt;&gt;"",IF(CL238&gt;0,IF($Z$4&lt;&gt;"",MIN(4,RANK(CL238,$CL$111:$CL$300)),RANK(CL238,$CL$111:$CL$300)),""),""),"")</f>
      </c>
      <c s="75">
        <f>IF(ISERROR(VLOOKUP(CV238,$AL$8:$AL$15,1,FALSE))=TRUE,IF(AND(ISERROR(FIND("NeighMkt",$CX$102))=FALSE,LEFT($CW$111,10)="ALL OUTLET",$CA238&lt;&gt;"",DJ238&lt;&gt;""),"",IF(AND($CV238&lt;&gt;$CW238,$CW238=CN$110),$DJ238,"")),"")</f>
      </c>
      <c s="76">
        <f>IF(ISERROR(VLOOKUP(CV238,$AL$8:$AL$15,1,FALSE))=TRUE,IF(CN238&lt;&gt;"",IF(CN238&gt;0,RANK(CN238,$CN$111:$CN$300),""),""),"")</f>
      </c>
      <c s="75">
        <f>IF(ISERROR(VLOOKUP(CV238,$AL$8:$AL$15,1,FALSE))=TRUE,IF(AND(ISERROR(FIND("NeighMkt",$CX$102))=FALSE,LEFT($CW$111,10)="ALL OUTLET",$CA238&lt;&gt;"",DJ238&lt;&gt;""),"",IF(AND($CV238&lt;&gt;$CW238,$CW238=CP$110),$DJ238,"")),"")</f>
      </c>
      <c s="76">
        <f>IF(ISERROR(VLOOKUP(CV238,$AL$8:$AL$15,1,FALSE))=TRUE,IF(CP238&lt;&gt;"",IF(CP238&gt;0,RANK(CP238,$CP$111:$CP$300),""),""),"")</f>
      </c>
      <c s="75">
        <f>IF(ISERROR(VLOOKUP(CV238,$AL$8:$AL$15,1,FALSE))=TRUE,IF(AND(ISERROR(FIND("NeighMkt",$CX$102))=FALSE,LEFT($CW$111,10)="ALL OUTLET",$CA238&lt;&gt;"",DJ238&lt;&gt;""),"",IF(AND($CV238&lt;&gt;$CW238,$CW238=CR$110),$DJ238,"")),"")</f>
      </c>
      <c s="76">
        <f>IF(ISERROR(VLOOKUP(CV238,$AL$8:$AL$15,1,FALSE))=TRUE,IF(CR238&lt;&gt;"",IF(CR238&gt;0,RANK(CR238,$CR$111:$CR$300),""),""),"")</f>
      </c>
      <c s="75">
        <f>IF(ISERROR(VLOOKUP(CV238,$AL$8:$AL$15,1,FALSE))=TRUE,IF(AND(ISERROR(FIND("NeighMkt",$CX$102))=FALSE,LEFT($CW$111,10)="ALL OUTLET",$CA238&lt;&gt;"",DJ238&lt;&gt;""),"",IF($Z$4="",IF(AND($CV238&lt;&gt;$CW238,$CW238=CT$110),$DJ238,""),IF(AND($CV238&lt;&gt;$CW238,$CW238&lt;&gt;CN$110,$CW238&lt;&gt;CP$110,$CW238&lt;&gt;CR$110,$CW238&lt;&gt;$CV$111),$DJ238,""))),"")</f>
      </c>
      <c s="76">
        <f>IF(ISERROR(VLOOKUP(CV238,$AL$8:$AL$15,1,FALSE))=TRUE,IF(CT238&lt;&gt;"",IF(CT238&gt;0,RANK(CT238,$CT$111:$CT$300),""),""),"")</f>
      </c>
      <c s="65" t="str">
        <f t="shared" si="19"/>
        <v>Sears.com</v>
      </c>
      <c s="65" t="str">
        <f t="shared" si="20"/>
        <v>Internet</v>
      </c>
      <c s="72" t="str">
        <f>IF('[1]Leakage Tree Data'!A137&lt;&gt;"",'[1]Leakage Tree Data'!A137,"")</f>
        <v>Total US - Sears.com</v>
      </c>
      <c s="72" t="str">
        <f>IF('[1]Leakage Tree Data'!B137&lt;&gt;"",'[1]Leakage Tree Data'!B137,"")</f>
        <v>Total US - Internet</v>
      </c>
      <c s="72">
        <f>IF('[1]Leakage Tree Data'!C137&lt;&gt;"",'[1]Leakage Tree Data'!C137,"")</f>
        <v>121171760.292236</v>
      </c>
      <c s="72">
        <f>IF('[1]Leakage Tree Data'!D137&lt;&gt;"",'[1]Leakage Tree Data'!D137,"")</f>
        <v>1944409.14984131</v>
      </c>
      <c s="72">
        <f>IF('[1]Leakage Tree Data'!E137&lt;&gt;"",'[1]Leakage Tree Data'!E137,"")</f>
        <v>1.60467186838903</v>
      </c>
      <c s="72">
        <f>IF('[1]Leakage Tree Data'!F137&lt;&gt;"",'[1]Leakage Tree Data'!F137,"")</f>
        <v>119227351.142395</v>
      </c>
      <c s="72">
        <f>IF('[1]Leakage Tree Data'!G137&lt;&gt;"",'[1]Leakage Tree Data'!G137,"")</f>
        <v>98.395328131611</v>
      </c>
      <c s="72">
        <f>IF('[1]Leakage Tree Data'!H137&lt;&gt;"",'[1]Leakage Tree Data'!H137,"")</f>
        <v>61518209.9918823</v>
      </c>
      <c s="72" t="str">
        <f>IF('[1]Leakage Tree Data'!I137&lt;&gt;"",'[1]Leakage Tree Data'!I137,"")</f>
        <v>Internet</v>
      </c>
      <c s="72">
        <f>IF('[1]Leakage Tree Data'!J137&lt;&gt;"",'[1]Leakage Tree Data'!J137,"")</f>
      </c>
      <c s="72">
        <f>IF('[1]Leakage Tree Data'!K137&lt;&gt;"",'[1]Leakage Tree Data'!K137,"")</f>
      </c>
      <c s="72">
        <f>IF('[1]Leakage Tree Data'!L137&lt;&gt;"",'[1]Leakage Tree Data'!L137,"")</f>
      </c>
      <c s="72">
        <f>IF('[1]Leakage Tree Data'!M137&lt;&gt;"",'[1]Leakage Tree Data'!M137,"")</f>
      </c>
      <c s="72">
        <f>IF('[1]Leakage Tree Data'!N137&lt;&gt;"",'[1]Leakage Tree Data'!N137,"")</f>
      </c>
      <c s="72">
        <f>IF('[1]Leakage Tree Data'!O137&lt;&gt;"",'[1]Leakage Tree Data'!O137,"")</f>
      </c>
      <c s="72">
        <f>IF('[1]Leakage Tree Data'!P137&lt;&gt;"",'[1]Leakage Tree Data'!P137,"")</f>
      </c>
      <c s="72">
        <f>IF('[1]Leakage Tree Data'!Q137&lt;&gt;"",'[1]Leakage Tree Data'!Q137,"")</f>
      </c>
      <c s="72">
        <f>IF('[1]Leakage Tree Data'!R137&lt;&gt;"",'[1]Leakage Tree Data'!R137,"")</f>
        <v>1017625.85098267</v>
      </c>
      <c s="72">
        <f>IF('[1]Leakage Tree Data'!S137&lt;&gt;"",'[1]Leakage Tree Data'!S137,"")</f>
        <v>-244498.33203125</v>
      </c>
      <c s="72">
        <f>IF('[1]Leakage Tree Data'!T137&lt;&gt;"",'[1]Leakage Tree Data'!T137,"")</f>
        <v>-0.21707774684603</v>
      </c>
      <c s="72">
        <f>IF('[1]Leakage Tree Data'!U137&lt;&gt;"",'[1]Leakage Tree Data'!U137,"")</f>
        <v>1262124.18301392</v>
      </c>
      <c s="72">
        <f>IF('[1]Leakage Tree Data'!V137&lt;&gt;"",'[1]Leakage Tree Data'!V137,"")</f>
        <v>0.21707774684603</v>
      </c>
      <c s="72">
        <f>IF('[1]Leakage Tree Data'!W137&lt;&gt;"",'[1]Leakage Tree Data'!W137,"")</f>
        <v>-1855949.2237854</v>
      </c>
      <c s="72">
        <f>IF('[1]Leakage Tree Data'!X137&lt;&gt;"",'[1]Leakage Tree Data'!X137,"")</f>
      </c>
      <c s="72">
        <f>IF('[1]Leakage Tree Data'!Y137&lt;&gt;"",'[1]Leakage Tree Data'!Y137,"")</f>
      </c>
      <c s="72">
        <f>IF('[1]Leakage Tree Data'!Z137&lt;&gt;"",'[1]Leakage Tree Data'!Z137,"")</f>
      </c>
      <c s="72">
        <f>IF('[1]Leakage Tree Data'!AA137&lt;&gt;"",'[1]Leakage Tree Data'!AA137,"")</f>
      </c>
      <c s="72">
        <f>IF('[1]Leakage Tree Data'!AB137&lt;&gt;"",'[1]Leakage Tree Data'!AB137,"")</f>
      </c>
      <c s="72">
        <f>IF('[1]Leakage Tree Data'!AC137&lt;&gt;"",'[1]Leakage Tree Data'!AC137,"")</f>
      </c>
      <c s="72">
        <f>IF('[1]Leakage Tree Data'!AD137&lt;&gt;"",'[1]Leakage Tree Data'!AD137,"")</f>
      </c>
      <c s="72">
        <f>IF('[1]Leakage Tree Data'!AE137&lt;&gt;"",'[1]Leakage Tree Data'!AE137,"")</f>
      </c>
      <c s="73">
        <f t="shared" si="28"/>
      </c>
      <c s="73">
        <f t="shared" si="29"/>
      </c>
      <c s="73">
        <f t="shared" si="30"/>
      </c>
      <c s="73">
        <f t="shared" si="31"/>
      </c>
      <c s="74">
        <f t="shared" si="32"/>
      </c>
      <c s="74">
        <f t="shared" si="33"/>
      </c>
      <c s="69" t="str">
        <f t="shared" si="17"/>
        <v>Total US - Sears.com</v>
      </c>
      <c s="69" t="str">
        <f t="shared" si="18"/>
        <v>Total US - Internet</v>
      </c>
      <c s="77"/>
    </row>
    <row r="239" spans="1:141" s="92" customFormat="1" ht="15">
      <c r="A2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239,$AL$8:$AL$15,1,FALSE))=TRUE,IF(AND(CV239=CW239,CV239&lt;&gt;"",DI$111&lt;&gt;"",DK239&lt;&gt;""),IF(CW$101="Y",DK239-IF(ISERROR(VLOOKUP(CV239,$CA$113:$DK$300,37,FALSE))=TRUE,0,IF(VLOOKUP(CV239,$CA$113:$DK$300,37,FALSE)="",0,VLOOKUP(CV239,$CA$113:$DK$300,37,FALSE))),DK239-IF(AND(CW$102="Y",CV239=$CW$111),DI$111,0)),""),"")</f>
      </c>
      <c s="76">
        <f>IF(ISERROR(VLOOKUP(CV239,$AL$8:$AL$15,1,FALSE))=TRUE,IF(CB239&lt;&gt;"",IF(CB239&gt;0,IF(Z$4&lt;&gt;"",MIN(4,RANK(CB239,$CB$111:$CB$300)),RANK(CB239,$CB$111:$CB$300)),""),""),"")</f>
      </c>
      <c s="75">
        <f>IF(ISERROR(VLOOKUP(CV239,$AL$8:$AL$15,1,FALSE))=TRUE,IF(AND(ISERROR(FIND("NeighMkt",$CX$102))=FALSE,LEFT($CW$111,10)="ALL OUTLET",$CA239&lt;&gt;"",DK239&lt;&gt;""),"",IF(AND($CV239&lt;&gt;$CW239,$CW239=CD$110),$DK239,"")),"")</f>
      </c>
      <c s="76">
        <f>IF(ISERROR(VLOOKUP(CV239,$AL$8:$AL$15,1,FALSE))=TRUE,IF(CD239&lt;&gt;"",IF(CD239&gt;0,RANK(CD239,$CD$111:$CD$300),""),""),"")</f>
      </c>
      <c s="75">
        <f>IF(ISERROR(VLOOKUP(CV239,$AL$8:$AL$15,1,FALSE))=TRUE,IF(AND(ISERROR(FIND("NeighMkt",$CX$102))=FALSE,LEFT($CW$111,10)="ALL OUTLET",$CA239&lt;&gt;"",DK239&lt;&gt;""),"",IF(AND($CV239&lt;&gt;$CW239,$CW239=CF$110),$DK239,"")),"")</f>
      </c>
      <c s="76">
        <f>IF(ISERROR(VLOOKUP(CV239,$AL$8:$AL$15,1,FALSE))=TRUE,IF(CF239&lt;&gt;"",IF(CF239&gt;0,RANK(CF239,$CF$111:$CF$300),""),""),"")</f>
      </c>
      <c s="75">
        <f>IF(ISERROR(VLOOKUP(CV239,$AL$8:$AL$15,1,FALSE))=TRUE,IF(AND(ISERROR(FIND("NeighMkt",$CX$102))=FALSE,LEFT($CW$111,10)="ALL OUTLET",$CA239&lt;&gt;"",DK239&lt;&gt;""),"",IF(AND($CV239&lt;&gt;$CW239,$CW239=CH$110),$DK239,"")),"")</f>
      </c>
      <c s="76">
        <f>IF(ISERROR(VLOOKUP(CV239,$AL$8:$AL$15,1,FALSE))=TRUE,IF(CH239&lt;&gt;"",IF(CH239&gt;0,RANK(CH239,$CH$111:$CH$300),""),""),"")</f>
      </c>
      <c s="75">
        <f>IF(ISERROR(VLOOKUP(CV239,$AL$8:$AL$15,1,FALSE))=TRUE,IF(AND(ISERROR(FIND("NeighMkt",$CX$102))=FALSE,LEFT($CW$111,10)="ALL OUTLET",$CA239&lt;&gt;"",DK239&lt;&gt;""),"",IF($Z$4="",IF(AND($CV239&lt;&gt;$CW239,$CW239=CJ$110),$DK239,""),IF(AND($CV239&lt;&gt;$CW239,$CW239&lt;&gt;CD$110,$CW239&lt;&gt;CF$110,$CW239&lt;&gt;CH$110,$CW239&lt;&gt;$CV$111),$DK239,""))),"")</f>
      </c>
      <c s="76">
        <f>IF(ISERROR(VLOOKUP(CV239,$AL$8:$AL$15,1,FALSE))=TRUE,IF(CJ239&lt;&gt;"",IF(CJ239&gt;0,RANK(CJ239,$CJ$111:$CJ$300),""),""),"")</f>
      </c>
      <c s="75">
        <f>IF(ISERROR(VLOOKUP(CV239,$AL$8:$AL$15,1,FALSE))=TRUE,IF(AND(CV239=CW239,CV239&lt;&gt;"",DJ239&lt;&gt;""),IF(AND(ISERROR(FIND("NeighMkt",$CX$102))=FALSE,LEFT($CW$111,10)="ALL OUTLET"),DJ239-IF(ISERROR(VLOOKUP(CV239,$CA$113:$DK$300,36,FALSE))=TRUE,0,IF(VLOOKUP(CV239,$CA$113:$DK$300,36,FALSE)="",0,VLOOKUP(CV239,$CA$113:$DK$300,36,FALSE))),DJ239),""),"")</f>
      </c>
      <c s="76">
        <f>IF(ISERROR(VLOOKUP(CV239,$AL$8:$AL$15,1,FALSE))=TRUE,IF(CL239&lt;&gt;"",IF(CL239&gt;0,IF($Z$4&lt;&gt;"",MIN(4,RANK(CL239,$CL$111:$CL$300)),RANK(CL239,$CL$111:$CL$300)),""),""),"")</f>
      </c>
      <c s="75">
        <f>IF(ISERROR(VLOOKUP(CV239,$AL$8:$AL$15,1,FALSE))=TRUE,IF(AND(ISERROR(FIND("NeighMkt",$CX$102))=FALSE,LEFT($CW$111,10)="ALL OUTLET",$CA239&lt;&gt;"",DJ239&lt;&gt;""),"",IF(AND($CV239&lt;&gt;$CW239,$CW239=CN$110),$DJ239,"")),"")</f>
      </c>
      <c s="76">
        <f>IF(ISERROR(VLOOKUP(CV239,$AL$8:$AL$15,1,FALSE))=TRUE,IF(CN239&lt;&gt;"",IF(CN239&gt;0,RANK(CN239,$CN$111:$CN$300),""),""),"")</f>
      </c>
      <c s="75">
        <f>IF(ISERROR(VLOOKUP(CV239,$AL$8:$AL$15,1,FALSE))=TRUE,IF(AND(ISERROR(FIND("NeighMkt",$CX$102))=FALSE,LEFT($CW$111,10)="ALL OUTLET",$CA239&lt;&gt;"",DJ239&lt;&gt;""),"",IF(AND($CV239&lt;&gt;$CW239,$CW239=CP$110),$DJ239,"")),"")</f>
      </c>
      <c s="76">
        <f>IF(ISERROR(VLOOKUP(CV239,$AL$8:$AL$15,1,FALSE))=TRUE,IF(CP239&lt;&gt;"",IF(CP239&gt;0,RANK(CP239,$CP$111:$CP$300),""),""),"")</f>
      </c>
      <c s="75">
        <f>IF(ISERROR(VLOOKUP(CV239,$AL$8:$AL$15,1,FALSE))=TRUE,IF(AND(ISERROR(FIND("NeighMkt",$CX$102))=FALSE,LEFT($CW$111,10)="ALL OUTLET",$CA239&lt;&gt;"",DJ239&lt;&gt;""),"",IF(AND($CV239&lt;&gt;$CW239,$CW239=CR$110),$DJ239,"")),"")</f>
      </c>
      <c s="76">
        <f>IF(ISERROR(VLOOKUP(CV239,$AL$8:$AL$15,1,FALSE))=TRUE,IF(CR239&lt;&gt;"",IF(CR239&gt;0,RANK(CR239,$CR$111:$CR$300),""),""),"")</f>
      </c>
      <c s="75">
        <f>IF(ISERROR(VLOOKUP(CV239,$AL$8:$AL$15,1,FALSE))=TRUE,IF(AND(ISERROR(FIND("NeighMkt",$CX$102))=FALSE,LEFT($CW$111,10)="ALL OUTLET",$CA239&lt;&gt;"",DJ239&lt;&gt;""),"",IF($Z$4="",IF(AND($CV239&lt;&gt;$CW239,$CW239=CT$110),$DJ239,""),IF(AND($CV239&lt;&gt;$CW239,$CW239&lt;&gt;CN$110,$CW239&lt;&gt;CP$110,$CW239&lt;&gt;CR$110,$CW239&lt;&gt;$CV$111),$DJ239,""))),"")</f>
      </c>
      <c s="76">
        <f>IF(ISERROR(VLOOKUP(CV239,$AL$8:$AL$15,1,FALSE))=TRUE,IF(CT239&lt;&gt;"",IF(CT239&gt;0,RANK(CT239,$CT$111:$CT$300),""),""),"")</f>
      </c>
      <c s="65" t="str">
        <f t="shared" si="19"/>
        <v>Shoprite.com</v>
      </c>
      <c s="65" t="str">
        <f t="shared" si="20"/>
        <v>Internet</v>
      </c>
      <c s="72" t="str">
        <f>IF('[1]Leakage Tree Data'!A138&lt;&gt;"",'[1]Leakage Tree Data'!A138,"")</f>
        <v>Total US - Shoprite.com</v>
      </c>
      <c s="72" t="str">
        <f>IF('[1]Leakage Tree Data'!B138&lt;&gt;"",'[1]Leakage Tree Data'!B138,"")</f>
        <v>Total US - Internet</v>
      </c>
      <c s="72">
        <f>IF('[1]Leakage Tree Data'!C138&lt;&gt;"",'[1]Leakage Tree Data'!C138,"")</f>
        <v>121171760.292236</v>
      </c>
      <c s="72">
        <f>IF('[1]Leakage Tree Data'!D138&lt;&gt;"",'[1]Leakage Tree Data'!D138,"")</f>
        <v>836075.473693848</v>
      </c>
      <c s="72">
        <f>IF('[1]Leakage Tree Data'!E138&lt;&gt;"",'[1]Leakage Tree Data'!E138,"")</f>
        <v>0.689992017675934</v>
      </c>
      <c s="72">
        <f>IF('[1]Leakage Tree Data'!F138&lt;&gt;"",'[1]Leakage Tree Data'!F138,"")</f>
        <v>120335684.818542</v>
      </c>
      <c s="72">
        <f>IF('[1]Leakage Tree Data'!G138&lt;&gt;"",'[1]Leakage Tree Data'!G138,"")</f>
        <v>99.3100079823241</v>
      </c>
      <c s="72">
        <f>IF('[1]Leakage Tree Data'!H138&lt;&gt;"",'[1]Leakage Tree Data'!H138,"")</f>
        <v>61518209.9918823</v>
      </c>
      <c s="72" t="str">
        <f>IF('[1]Leakage Tree Data'!I138&lt;&gt;"",'[1]Leakage Tree Data'!I138,"")</f>
        <v>Internet</v>
      </c>
      <c s="72">
        <f>IF('[1]Leakage Tree Data'!J138&lt;&gt;"",'[1]Leakage Tree Data'!J138,"")</f>
      </c>
      <c s="72">
        <f>IF('[1]Leakage Tree Data'!K138&lt;&gt;"",'[1]Leakage Tree Data'!K138,"")</f>
      </c>
      <c s="72">
        <f>IF('[1]Leakage Tree Data'!L138&lt;&gt;"",'[1]Leakage Tree Data'!L138,"")</f>
      </c>
      <c s="72">
        <f>IF('[1]Leakage Tree Data'!M138&lt;&gt;"",'[1]Leakage Tree Data'!M138,"")</f>
      </c>
      <c s="72">
        <f>IF('[1]Leakage Tree Data'!N138&lt;&gt;"",'[1]Leakage Tree Data'!N138,"")</f>
      </c>
      <c s="72">
        <f>IF('[1]Leakage Tree Data'!O138&lt;&gt;"",'[1]Leakage Tree Data'!O138,"")</f>
        <v>25.0228854210632</v>
      </c>
      <c s="72">
        <f>IF('[1]Leakage Tree Data'!P138&lt;&gt;"",'[1]Leakage Tree Data'!P138,"")</f>
        <v>130904.980163887</v>
      </c>
      <c s="72">
        <f>IF('[1]Leakage Tree Data'!Q138&lt;&gt;"",'[1]Leakage Tree Data'!Q138,"")</f>
      </c>
      <c s="72">
        <f>IF('[1]Leakage Tree Data'!R138&lt;&gt;"",'[1]Leakage Tree Data'!R138,"")</f>
        <v>1017625.85098267</v>
      </c>
      <c s="72">
        <f>IF('[1]Leakage Tree Data'!S138&lt;&gt;"",'[1]Leakage Tree Data'!S138,"")</f>
        <v>-46316.7926635742</v>
      </c>
      <c s="72">
        <f>IF('[1]Leakage Tree Data'!T138&lt;&gt;"",'[1]Leakage Tree Data'!T138,"")</f>
        <v>-0.0443915892309472</v>
      </c>
      <c s="72">
        <f>IF('[1]Leakage Tree Data'!U138&lt;&gt;"",'[1]Leakage Tree Data'!U138,"")</f>
        <v>1063942.64364624</v>
      </c>
      <c s="72">
        <f>IF('[1]Leakage Tree Data'!V138&lt;&gt;"",'[1]Leakage Tree Data'!V138,"")</f>
        <v>0.0443915892309406</v>
      </c>
      <c s="72">
        <f>IF('[1]Leakage Tree Data'!W138&lt;&gt;"",'[1]Leakage Tree Data'!W138,"")</f>
        <v>-1855949.2237854</v>
      </c>
      <c s="72">
        <f>IF('[1]Leakage Tree Data'!X138&lt;&gt;"",'[1]Leakage Tree Data'!X138,"")</f>
      </c>
      <c s="72">
        <f>IF('[1]Leakage Tree Data'!Y138&lt;&gt;"",'[1]Leakage Tree Data'!Y138,"")</f>
      </c>
      <c s="72">
        <f>IF('[1]Leakage Tree Data'!Z138&lt;&gt;"",'[1]Leakage Tree Data'!Z138,"")</f>
      </c>
      <c s="72">
        <f>IF('[1]Leakage Tree Data'!AA138&lt;&gt;"",'[1]Leakage Tree Data'!AA138,"")</f>
      </c>
      <c s="72">
        <f>IF('[1]Leakage Tree Data'!AB138&lt;&gt;"",'[1]Leakage Tree Data'!AB138,"")</f>
      </c>
      <c s="72">
        <f>IF('[1]Leakage Tree Data'!AC138&lt;&gt;"",'[1]Leakage Tree Data'!AC138,"")</f>
      </c>
      <c s="72">
        <f>IF('[1]Leakage Tree Data'!AD138&lt;&gt;"",'[1]Leakage Tree Data'!AD138,"")</f>
        <v>3.06544918514447</v>
      </c>
      <c s="72">
        <f>IF('[1]Leakage Tree Data'!AE138&lt;&gt;"",'[1]Leakage Tree Data'!AE138,"")</f>
      </c>
      <c s="73">
        <f t="shared" si="28"/>
      </c>
      <c s="73">
        <f t="shared" si="29"/>
      </c>
      <c s="73">
        <f t="shared" si="30"/>
      </c>
      <c s="73">
        <f t="shared" si="31"/>
      </c>
      <c s="74">
        <f t="shared" si="32"/>
      </c>
      <c s="74">
        <f t="shared" si="33"/>
      </c>
      <c s="69" t="str">
        <f t="shared" si="17"/>
        <v>Total US - Shoprite.com</v>
      </c>
      <c s="69" t="str">
        <f t="shared" si="18"/>
        <v>Total US - Internet</v>
      </c>
      <c s="77"/>
    </row>
    <row r="240" spans="1:141" s="92" customFormat="1" ht="15">
      <c r="A2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240,$AL$8:$AL$15,1,FALSE))=TRUE,IF(AND(CV240=CW240,CV240&lt;&gt;"",DI$111&lt;&gt;"",DK240&lt;&gt;""),IF(CW$101="Y",DK240-IF(ISERROR(VLOOKUP(CV240,$CA$113:$DK$300,37,FALSE))=TRUE,0,IF(VLOOKUP(CV240,$CA$113:$DK$300,37,FALSE)="",0,VLOOKUP(CV240,$CA$113:$DK$300,37,FALSE))),DK240-IF(AND(CW$102="Y",CV240=$CW$111),DI$111,0)),""),"")</f>
      </c>
      <c s="76">
        <f>IF(ISERROR(VLOOKUP(CV240,$AL$8:$AL$15,1,FALSE))=TRUE,IF(CB240&lt;&gt;"",IF(CB240&gt;0,IF(Z$4&lt;&gt;"",MIN(4,RANK(CB240,$CB$111:$CB$300)),RANK(CB240,$CB$111:$CB$300)),""),""),"")</f>
      </c>
      <c s="75">
        <f>IF(ISERROR(VLOOKUP(CV240,$AL$8:$AL$15,1,FALSE))=TRUE,IF(AND(ISERROR(FIND("NeighMkt",$CX$102))=FALSE,LEFT($CW$111,10)="ALL OUTLET",$CA240&lt;&gt;"",DK240&lt;&gt;""),"",IF(AND($CV240&lt;&gt;$CW240,$CW240=CD$110),$DK240,"")),"")</f>
      </c>
      <c s="76">
        <f>IF(ISERROR(VLOOKUP(CV240,$AL$8:$AL$15,1,FALSE))=TRUE,IF(CD240&lt;&gt;"",IF(CD240&gt;0,RANK(CD240,$CD$111:$CD$300),""),""),"")</f>
      </c>
      <c s="75">
        <f>IF(ISERROR(VLOOKUP(CV240,$AL$8:$AL$15,1,FALSE))=TRUE,IF(AND(ISERROR(FIND("NeighMkt",$CX$102))=FALSE,LEFT($CW$111,10)="ALL OUTLET",$CA240&lt;&gt;"",DK240&lt;&gt;""),"",IF(AND($CV240&lt;&gt;$CW240,$CW240=CF$110),$DK240,"")),"")</f>
      </c>
      <c s="76">
        <f>IF(ISERROR(VLOOKUP(CV240,$AL$8:$AL$15,1,FALSE))=TRUE,IF(CF240&lt;&gt;"",IF(CF240&gt;0,RANK(CF240,$CF$111:$CF$300),""),""),"")</f>
      </c>
      <c s="75">
        <f>IF(ISERROR(VLOOKUP(CV240,$AL$8:$AL$15,1,FALSE))=TRUE,IF(AND(ISERROR(FIND("NeighMkt",$CX$102))=FALSE,LEFT($CW$111,10)="ALL OUTLET",$CA240&lt;&gt;"",DK240&lt;&gt;""),"",IF(AND($CV240&lt;&gt;$CW240,$CW240=CH$110),$DK240,"")),"")</f>
      </c>
      <c s="76">
        <f>IF(ISERROR(VLOOKUP(CV240,$AL$8:$AL$15,1,FALSE))=TRUE,IF(CH240&lt;&gt;"",IF(CH240&gt;0,RANK(CH240,$CH$111:$CH$300),""),""),"")</f>
      </c>
      <c s="75">
        <f>IF(ISERROR(VLOOKUP(CV240,$AL$8:$AL$15,1,FALSE))=TRUE,IF(AND(ISERROR(FIND("NeighMkt",$CX$102))=FALSE,LEFT($CW$111,10)="ALL OUTLET",$CA240&lt;&gt;"",DK240&lt;&gt;""),"",IF($Z$4="",IF(AND($CV240&lt;&gt;$CW240,$CW240=CJ$110),$DK240,""),IF(AND($CV240&lt;&gt;$CW240,$CW240&lt;&gt;CD$110,$CW240&lt;&gt;CF$110,$CW240&lt;&gt;CH$110,$CW240&lt;&gt;$CV$111),$DK240,""))),"")</f>
      </c>
      <c s="76">
        <f>IF(ISERROR(VLOOKUP(CV240,$AL$8:$AL$15,1,FALSE))=TRUE,IF(CJ240&lt;&gt;"",IF(CJ240&gt;0,RANK(CJ240,$CJ$111:$CJ$300),""),""),"")</f>
      </c>
      <c s="75">
        <f>IF(ISERROR(VLOOKUP(CV240,$AL$8:$AL$15,1,FALSE))=TRUE,IF(AND(CV240=CW240,CV240&lt;&gt;"",DJ240&lt;&gt;""),IF(AND(ISERROR(FIND("NeighMkt",$CX$102))=FALSE,LEFT($CW$111,10)="ALL OUTLET"),DJ240-IF(ISERROR(VLOOKUP(CV240,$CA$113:$DK$300,36,FALSE))=TRUE,0,IF(VLOOKUP(CV240,$CA$113:$DK$300,36,FALSE)="",0,VLOOKUP(CV240,$CA$113:$DK$300,36,FALSE))),DJ240),""),"")</f>
      </c>
      <c s="76">
        <f>IF(ISERROR(VLOOKUP(CV240,$AL$8:$AL$15,1,FALSE))=TRUE,IF(CL240&lt;&gt;"",IF(CL240&gt;0,IF($Z$4&lt;&gt;"",MIN(4,RANK(CL240,$CL$111:$CL$300)),RANK(CL240,$CL$111:$CL$300)),""),""),"")</f>
      </c>
      <c s="75">
        <f>IF(ISERROR(VLOOKUP(CV240,$AL$8:$AL$15,1,FALSE))=TRUE,IF(AND(ISERROR(FIND("NeighMkt",$CX$102))=FALSE,LEFT($CW$111,10)="ALL OUTLET",$CA240&lt;&gt;"",DJ240&lt;&gt;""),"",IF(AND($CV240&lt;&gt;$CW240,$CW240=CN$110),$DJ240,"")),"")</f>
      </c>
      <c s="76">
        <f>IF(ISERROR(VLOOKUP(CV240,$AL$8:$AL$15,1,FALSE))=TRUE,IF(CN240&lt;&gt;"",IF(CN240&gt;0,RANK(CN240,$CN$111:$CN$300),""),""),"")</f>
      </c>
      <c s="75">
        <f>IF(ISERROR(VLOOKUP(CV240,$AL$8:$AL$15,1,FALSE))=TRUE,IF(AND(ISERROR(FIND("NeighMkt",$CX$102))=FALSE,LEFT($CW$111,10)="ALL OUTLET",$CA240&lt;&gt;"",DJ240&lt;&gt;""),"",IF(AND($CV240&lt;&gt;$CW240,$CW240=CP$110),$DJ240,"")),"")</f>
      </c>
      <c s="76">
        <f>IF(ISERROR(VLOOKUP(CV240,$AL$8:$AL$15,1,FALSE))=TRUE,IF(CP240&lt;&gt;"",IF(CP240&gt;0,RANK(CP240,$CP$111:$CP$300),""),""),"")</f>
      </c>
      <c s="75">
        <f>IF(ISERROR(VLOOKUP(CV240,$AL$8:$AL$15,1,FALSE))=TRUE,IF(AND(ISERROR(FIND("NeighMkt",$CX$102))=FALSE,LEFT($CW$111,10)="ALL OUTLET",$CA240&lt;&gt;"",DJ240&lt;&gt;""),"",IF(AND($CV240&lt;&gt;$CW240,$CW240=CR$110),$DJ240,"")),"")</f>
      </c>
      <c s="76">
        <f>IF(ISERROR(VLOOKUP(CV240,$AL$8:$AL$15,1,FALSE))=TRUE,IF(CR240&lt;&gt;"",IF(CR240&gt;0,RANK(CR240,$CR$111:$CR$300),""),""),"")</f>
      </c>
      <c s="75">
        <f>IF(ISERROR(VLOOKUP(CV240,$AL$8:$AL$15,1,FALSE))=TRUE,IF(AND(ISERROR(FIND("NeighMkt",$CX$102))=FALSE,LEFT($CW$111,10)="ALL OUTLET",$CA240&lt;&gt;"",DJ240&lt;&gt;""),"",IF($Z$4="",IF(AND($CV240&lt;&gt;$CW240,$CW240=CT$110),$DJ240,""),IF(AND($CV240&lt;&gt;$CW240,$CW240&lt;&gt;CN$110,$CW240&lt;&gt;CP$110,$CW240&lt;&gt;CR$110,$CW240&lt;&gt;$CV$111),$DJ240,""))),"")</f>
      </c>
      <c s="76">
        <f>IF(ISERROR(VLOOKUP(CV240,$AL$8:$AL$15,1,FALSE))=TRUE,IF(CT240&lt;&gt;"",IF(CT240&gt;0,RANK(CT240,$CT$111:$CT$300),""),""),"")</f>
      </c>
      <c s="65" t="str">
        <f t="shared" si="19"/>
        <v>Staples.com</v>
      </c>
      <c s="65" t="str">
        <f t="shared" si="20"/>
        <v>Internet</v>
      </c>
      <c s="72" t="str">
        <f>IF('[1]Leakage Tree Data'!A139&lt;&gt;"",'[1]Leakage Tree Data'!A139,"")</f>
        <v>Total US - Staples.com</v>
      </c>
      <c s="72" t="str">
        <f>IF('[1]Leakage Tree Data'!B139&lt;&gt;"",'[1]Leakage Tree Data'!B139,"")</f>
        <v>Total US - Internet</v>
      </c>
      <c s="72">
        <f>IF('[1]Leakage Tree Data'!C139&lt;&gt;"",'[1]Leakage Tree Data'!C139,"")</f>
        <v>121171760.292236</v>
      </c>
      <c s="72">
        <f>IF('[1]Leakage Tree Data'!D139&lt;&gt;"",'[1]Leakage Tree Data'!D139,"")</f>
        <v>2443085.70159912</v>
      </c>
      <c s="72">
        <f>IF('[1]Leakage Tree Data'!E139&lt;&gt;"",'[1]Leakage Tree Data'!E139,"")</f>
        <v>2.01621705891455</v>
      </c>
      <c s="72">
        <f>IF('[1]Leakage Tree Data'!F139&lt;&gt;"",'[1]Leakage Tree Data'!F139,"")</f>
        <v>118728674.590637</v>
      </c>
      <c s="72">
        <f>IF('[1]Leakage Tree Data'!G139&lt;&gt;"",'[1]Leakage Tree Data'!G139,"")</f>
        <v>97.9837829410855</v>
      </c>
      <c s="72">
        <f>IF('[1]Leakage Tree Data'!H139&lt;&gt;"",'[1]Leakage Tree Data'!H139,"")</f>
        <v>61518209.9918823</v>
      </c>
      <c s="72" t="str">
        <f>IF('[1]Leakage Tree Data'!I139&lt;&gt;"",'[1]Leakage Tree Data'!I139,"")</f>
        <v>Internet</v>
      </c>
      <c s="72">
        <f>IF('[1]Leakage Tree Data'!J139&lt;&gt;"",'[1]Leakage Tree Data'!J139,"")</f>
      </c>
      <c s="72">
        <f>IF('[1]Leakage Tree Data'!K139&lt;&gt;"",'[1]Leakage Tree Data'!K139,"")</f>
      </c>
      <c s="72">
        <f>IF('[1]Leakage Tree Data'!L139&lt;&gt;"",'[1]Leakage Tree Data'!L139,"")</f>
      </c>
      <c s="72">
        <f>IF('[1]Leakage Tree Data'!M139&lt;&gt;"",'[1]Leakage Tree Data'!M139,"")</f>
      </c>
      <c s="72">
        <f>IF('[1]Leakage Tree Data'!N139&lt;&gt;"",'[1]Leakage Tree Data'!N139,"")</f>
      </c>
      <c s="72">
        <f>IF('[1]Leakage Tree Data'!O139&lt;&gt;"",'[1]Leakage Tree Data'!O139,"")</f>
      </c>
      <c s="72">
        <f>IF('[1]Leakage Tree Data'!P139&lt;&gt;"",'[1]Leakage Tree Data'!P139,"")</f>
      </c>
      <c s="72">
        <f>IF('[1]Leakage Tree Data'!Q139&lt;&gt;"",'[1]Leakage Tree Data'!Q139,"")</f>
      </c>
      <c s="72">
        <f>IF('[1]Leakage Tree Data'!R139&lt;&gt;"",'[1]Leakage Tree Data'!R139,"")</f>
        <v>1017625.85098267</v>
      </c>
      <c s="72">
        <f>IF('[1]Leakage Tree Data'!S139&lt;&gt;"",'[1]Leakage Tree Data'!S139,"")</f>
        <v>27659.6783752441</v>
      </c>
      <c s="72">
        <f>IF('[1]Leakage Tree Data'!T139&lt;&gt;"",'[1]Leakage Tree Data'!T139,"")</f>
        <v>0.00594414200145499</v>
      </c>
      <c s="72">
        <f>IF('[1]Leakage Tree Data'!U139&lt;&gt;"",'[1]Leakage Tree Data'!U139,"")</f>
        <v>989966.172607422</v>
      </c>
      <c s="72">
        <f>IF('[1]Leakage Tree Data'!V139&lt;&gt;"",'[1]Leakage Tree Data'!V139,"")</f>
        <v>-0.00594414200145366</v>
      </c>
      <c s="72">
        <f>IF('[1]Leakage Tree Data'!W139&lt;&gt;"",'[1]Leakage Tree Data'!W139,"")</f>
        <v>-1855949.2237854</v>
      </c>
      <c s="72">
        <f>IF('[1]Leakage Tree Data'!X139&lt;&gt;"",'[1]Leakage Tree Data'!X139,"")</f>
      </c>
      <c s="72">
        <f>IF('[1]Leakage Tree Data'!Y139&lt;&gt;"",'[1]Leakage Tree Data'!Y139,"")</f>
      </c>
      <c s="72">
        <f>IF('[1]Leakage Tree Data'!Z139&lt;&gt;"",'[1]Leakage Tree Data'!Z139,"")</f>
      </c>
      <c s="72">
        <f>IF('[1]Leakage Tree Data'!AA139&lt;&gt;"",'[1]Leakage Tree Data'!AA139,"")</f>
      </c>
      <c s="72">
        <f>IF('[1]Leakage Tree Data'!AB139&lt;&gt;"",'[1]Leakage Tree Data'!AB139,"")</f>
      </c>
      <c s="72">
        <f>IF('[1]Leakage Tree Data'!AC139&lt;&gt;"",'[1]Leakage Tree Data'!AC139,"")</f>
      </c>
      <c s="72">
        <f>IF('[1]Leakage Tree Data'!AD139&lt;&gt;"",'[1]Leakage Tree Data'!AD139,"")</f>
      </c>
      <c s="72">
        <f>IF('[1]Leakage Tree Data'!AE139&lt;&gt;"",'[1]Leakage Tree Data'!AE139,"")</f>
      </c>
      <c s="73">
        <f t="shared" si="28"/>
      </c>
      <c s="73">
        <f t="shared" si="29"/>
      </c>
      <c s="73">
        <f t="shared" si="30"/>
      </c>
      <c s="73">
        <f t="shared" si="31"/>
      </c>
      <c s="74">
        <f t="shared" si="32"/>
      </c>
      <c s="74">
        <f t="shared" si="33"/>
      </c>
      <c s="69" t="str">
        <f t="shared" ref="EI240:EI260" si="34">IF(CX240&lt;&gt;"",IF(CW$102&lt;&gt;"Y",IF(ISERROR(FIND(" - ",CX240))=FALSE,CX240,SUBSTITUTE(CX240,"-"," - ")),CX240),"")</f>
        <v>Total US - Staples.com</v>
      </c>
      <c s="69" t="str">
        <f t="shared" ref="EJ240:EJ260" si="35">IF(CX240&lt;&gt;"",IF(CW$102&lt;&gt;"Y",IF(ISERROR(FIND(" - ",CY240))=FALSE,CY240,SUBSTITUTE(CY240,"-"," - ")),CY240),"")</f>
        <v>Total US - Internet</v>
      </c>
      <c s="77"/>
    </row>
    <row r="241" spans="1:141" s="92" customFormat="1" ht="15">
      <c r="A2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241,$AL$8:$AL$15,1,FALSE))=TRUE,IF(AND(CV241=CW241,CV241&lt;&gt;"",DI$111&lt;&gt;"",DK241&lt;&gt;""),IF(CW$101="Y",DK241-IF(ISERROR(VLOOKUP(CV241,$CA$113:$DK$300,37,FALSE))=TRUE,0,IF(VLOOKUP(CV241,$CA$113:$DK$300,37,FALSE)="",0,VLOOKUP(CV241,$CA$113:$DK$300,37,FALSE))),DK241-IF(AND(CW$102="Y",CV241=$CW$111),DI$111,0)),""),"")</f>
      </c>
      <c s="76">
        <f>IF(ISERROR(VLOOKUP(CV241,$AL$8:$AL$15,1,FALSE))=TRUE,IF(CB241&lt;&gt;"",IF(CB241&gt;0,IF(Z$4&lt;&gt;"",MIN(4,RANK(CB241,$CB$111:$CB$300)),RANK(CB241,$CB$111:$CB$300)),""),""),"")</f>
      </c>
      <c s="75">
        <f>IF(ISERROR(VLOOKUP(CV241,$AL$8:$AL$15,1,FALSE))=TRUE,IF(AND(ISERROR(FIND("NeighMkt",$CX$102))=FALSE,LEFT($CW$111,10)="ALL OUTLET",$CA241&lt;&gt;"",DK241&lt;&gt;""),"",IF(AND($CV241&lt;&gt;$CW241,$CW241=CD$110),$DK241,"")),"")</f>
      </c>
      <c s="76">
        <f>IF(ISERROR(VLOOKUP(CV241,$AL$8:$AL$15,1,FALSE))=TRUE,IF(CD241&lt;&gt;"",IF(CD241&gt;0,RANK(CD241,$CD$111:$CD$300),""),""),"")</f>
      </c>
      <c s="75">
        <f>IF(ISERROR(VLOOKUP(CV241,$AL$8:$AL$15,1,FALSE))=TRUE,IF(AND(ISERROR(FIND("NeighMkt",$CX$102))=FALSE,LEFT($CW$111,10)="ALL OUTLET",$CA241&lt;&gt;"",DK241&lt;&gt;""),"",IF(AND($CV241&lt;&gt;$CW241,$CW241=CF$110),$DK241,"")),"")</f>
      </c>
      <c s="76">
        <f>IF(ISERROR(VLOOKUP(CV241,$AL$8:$AL$15,1,FALSE))=TRUE,IF(CF241&lt;&gt;"",IF(CF241&gt;0,RANK(CF241,$CF$111:$CF$300),""),""),"")</f>
      </c>
      <c s="75">
        <f>IF(ISERROR(VLOOKUP(CV241,$AL$8:$AL$15,1,FALSE))=TRUE,IF(AND(ISERROR(FIND("NeighMkt",$CX$102))=FALSE,LEFT($CW$111,10)="ALL OUTLET",$CA241&lt;&gt;"",DK241&lt;&gt;""),"",IF(AND($CV241&lt;&gt;$CW241,$CW241=CH$110),$DK241,"")),"")</f>
      </c>
      <c s="76">
        <f>IF(ISERROR(VLOOKUP(CV241,$AL$8:$AL$15,1,FALSE))=TRUE,IF(CH241&lt;&gt;"",IF(CH241&gt;0,RANK(CH241,$CH$111:$CH$300),""),""),"")</f>
      </c>
      <c s="75">
        <f>IF(ISERROR(VLOOKUP(CV241,$AL$8:$AL$15,1,FALSE))=TRUE,IF(AND(ISERROR(FIND("NeighMkt",$CX$102))=FALSE,LEFT($CW$111,10)="ALL OUTLET",$CA241&lt;&gt;"",DK241&lt;&gt;""),"",IF($Z$4="",IF(AND($CV241&lt;&gt;$CW241,$CW241=CJ$110),$DK241,""),IF(AND($CV241&lt;&gt;$CW241,$CW241&lt;&gt;CD$110,$CW241&lt;&gt;CF$110,$CW241&lt;&gt;CH$110,$CW241&lt;&gt;$CV$111),$DK241,""))),"")</f>
      </c>
      <c s="76">
        <f>IF(ISERROR(VLOOKUP(CV241,$AL$8:$AL$15,1,FALSE))=TRUE,IF(CJ241&lt;&gt;"",IF(CJ241&gt;0,RANK(CJ241,$CJ$111:$CJ$300),""),""),"")</f>
      </c>
      <c s="75">
        <f>IF(ISERROR(VLOOKUP(CV241,$AL$8:$AL$15,1,FALSE))=TRUE,IF(AND(CV241=CW241,CV241&lt;&gt;"",DJ241&lt;&gt;""),IF(AND(ISERROR(FIND("NeighMkt",$CX$102))=FALSE,LEFT($CW$111,10)="ALL OUTLET"),DJ241-IF(ISERROR(VLOOKUP(CV241,$CA$113:$DK$300,36,FALSE))=TRUE,0,IF(VLOOKUP(CV241,$CA$113:$DK$300,36,FALSE)="",0,VLOOKUP(CV241,$CA$113:$DK$300,36,FALSE))),DJ241),""),"")</f>
      </c>
      <c s="76">
        <f>IF(ISERROR(VLOOKUP(CV241,$AL$8:$AL$15,1,FALSE))=TRUE,IF(CL241&lt;&gt;"",IF(CL241&gt;0,IF($Z$4&lt;&gt;"",MIN(4,RANK(CL241,$CL$111:$CL$300)),RANK(CL241,$CL$111:$CL$300)),""),""),"")</f>
      </c>
      <c s="75">
        <f>IF(ISERROR(VLOOKUP(CV241,$AL$8:$AL$15,1,FALSE))=TRUE,IF(AND(ISERROR(FIND("NeighMkt",$CX$102))=FALSE,LEFT($CW$111,10)="ALL OUTLET",$CA241&lt;&gt;"",DJ241&lt;&gt;""),"",IF(AND($CV241&lt;&gt;$CW241,$CW241=CN$110),$DJ241,"")),"")</f>
      </c>
      <c s="76">
        <f>IF(ISERROR(VLOOKUP(CV241,$AL$8:$AL$15,1,FALSE))=TRUE,IF(CN241&lt;&gt;"",IF(CN241&gt;0,RANK(CN241,$CN$111:$CN$300),""),""),"")</f>
      </c>
      <c s="75">
        <f>IF(ISERROR(VLOOKUP(CV241,$AL$8:$AL$15,1,FALSE))=TRUE,IF(AND(ISERROR(FIND("NeighMkt",$CX$102))=FALSE,LEFT($CW$111,10)="ALL OUTLET",$CA241&lt;&gt;"",DJ241&lt;&gt;""),"",IF(AND($CV241&lt;&gt;$CW241,$CW241=CP$110),$DJ241,"")),"")</f>
      </c>
      <c s="76">
        <f>IF(ISERROR(VLOOKUP(CV241,$AL$8:$AL$15,1,FALSE))=TRUE,IF(CP241&lt;&gt;"",IF(CP241&gt;0,RANK(CP241,$CP$111:$CP$300),""),""),"")</f>
      </c>
      <c s="75">
        <f>IF(ISERROR(VLOOKUP(CV241,$AL$8:$AL$15,1,FALSE))=TRUE,IF(AND(ISERROR(FIND("NeighMkt",$CX$102))=FALSE,LEFT($CW$111,10)="ALL OUTLET",$CA241&lt;&gt;"",DJ241&lt;&gt;""),"",IF(AND($CV241&lt;&gt;$CW241,$CW241=CR$110),$DJ241,"")),"")</f>
      </c>
      <c s="76">
        <f>IF(ISERROR(VLOOKUP(CV241,$AL$8:$AL$15,1,FALSE))=TRUE,IF(CR241&lt;&gt;"",IF(CR241&gt;0,RANK(CR241,$CR$111:$CR$300),""),""),"")</f>
      </c>
      <c s="75">
        <f>IF(ISERROR(VLOOKUP(CV241,$AL$8:$AL$15,1,FALSE))=TRUE,IF(AND(ISERROR(FIND("NeighMkt",$CX$102))=FALSE,LEFT($CW$111,10)="ALL OUTLET",$CA241&lt;&gt;"",DJ241&lt;&gt;""),"",IF($Z$4="",IF(AND($CV241&lt;&gt;$CW241,$CW241=CT$110),$DJ241,""),IF(AND($CV241&lt;&gt;$CW241,$CW241&lt;&gt;CN$110,$CW241&lt;&gt;CP$110,$CW241&lt;&gt;CR$110,$CW241&lt;&gt;$CV$111),$DJ241,""))),"")</f>
      </c>
      <c s="76">
        <f>IF(ISERROR(VLOOKUP(CV241,$AL$8:$AL$15,1,FALSE))=TRUE,IF(CT241&lt;&gt;"",IF(CT241&gt;0,RANK(CT241,$CT$111:$CT$300),""),""),"")</f>
      </c>
      <c s="65" t="str">
        <f t="shared" ref="CV241:CV260" si="36">IF(ISERROR(RIGHT(EI241,LEN(EI241)-IF(ISERROR(FIND(" - ",SUBSTITUTE(EI241," - ","^^^",1)))=FALSE,FIND(" - ",SUBSTITUTE(EI241," - ","^^^",1)),FIND(" - ",EI241))-3+1))=FALSE,RIGHT(EI241,LEN(EI241)-IF(ISERROR(FIND(" - ",SUBSTITUTE(EI241," - ","^^^",1)))=FALSE,FIND(" - ",SUBSTITUTE(EI241," - ","^^^",1)),FIND(" - ",EI241))-3+1),"")</f>
        <v>Target.com</v>
      </c>
      <c s="65" t="str">
        <f t="shared" ref="CW241:CW260" si="37">IF(EJ241&lt;&gt;"",RIGHT(EJ241,LEN(EJ241)-IF(ISERROR(FIND(" - ",SUBSTITUTE(EJ241," - ","^^^",1)))=FALSE,FIND(" - ",SUBSTITUTE(EJ241," - ","^^^",1)),FIND(" - ",EJ241))-3+1),"")</f>
        <v>Internet</v>
      </c>
      <c s="72" t="str">
        <f>IF('[1]Leakage Tree Data'!A140&lt;&gt;"",'[1]Leakage Tree Data'!A140,"")</f>
        <v>Total US - Target.com</v>
      </c>
      <c s="72" t="str">
        <f>IF('[1]Leakage Tree Data'!B140&lt;&gt;"",'[1]Leakage Tree Data'!B140,"")</f>
        <v>Total US - Internet</v>
      </c>
      <c s="72">
        <f>IF('[1]Leakage Tree Data'!C140&lt;&gt;"",'[1]Leakage Tree Data'!C140,"")</f>
        <v>121171760.292236</v>
      </c>
      <c s="72">
        <f>IF('[1]Leakage Tree Data'!D140&lt;&gt;"",'[1]Leakage Tree Data'!D140,"")</f>
        <v>5894804.65423584</v>
      </c>
      <c s="72">
        <f>IF('[1]Leakage Tree Data'!E140&lt;&gt;"",'[1]Leakage Tree Data'!E140,"")</f>
        <v>4.8648337203479</v>
      </c>
      <c s="72">
        <f>IF('[1]Leakage Tree Data'!F140&lt;&gt;"",'[1]Leakage Tree Data'!F140,"")</f>
        <v>115276955.638</v>
      </c>
      <c s="72">
        <f>IF('[1]Leakage Tree Data'!G140&lt;&gt;"",'[1]Leakage Tree Data'!G140,"")</f>
        <v>95.1351662796521</v>
      </c>
      <c s="72">
        <f>IF('[1]Leakage Tree Data'!H140&lt;&gt;"",'[1]Leakage Tree Data'!H140,"")</f>
        <v>61518209.9918823</v>
      </c>
      <c s="72" t="str">
        <f>IF('[1]Leakage Tree Data'!I140&lt;&gt;"",'[1]Leakage Tree Data'!I140,"")</f>
        <v>Internet</v>
      </c>
      <c s="72">
        <f>IF('[1]Leakage Tree Data'!J140&lt;&gt;"",'[1]Leakage Tree Data'!J140,"")</f>
        <v>99.7039418747657</v>
      </c>
      <c s="72">
        <f>IF('[1]Leakage Tree Data'!K140&lt;&gt;"",'[1]Leakage Tree Data'!K140,"")</f>
        <v>182129.659179688</v>
      </c>
      <c s="72">
        <f>IF('[1]Leakage Tree Data'!L140&lt;&gt;"",'[1]Leakage Tree Data'!L140,"")</f>
      </c>
      <c s="72">
        <f>IF('[1]Leakage Tree Data'!M140&lt;&gt;"",'[1]Leakage Tree Data'!M140,"")</f>
      </c>
      <c s="72">
        <f>IF('[1]Leakage Tree Data'!N140&lt;&gt;"",'[1]Leakage Tree Data'!N140,"")</f>
      </c>
      <c s="72">
        <f>IF('[1]Leakage Tree Data'!O140&lt;&gt;"",'[1]Leakage Tree Data'!O140,"")</f>
        <v>4.74806819367295</v>
      </c>
      <c s="72">
        <f>IF('[1]Leakage Tree Data'!P140&lt;&gt;"",'[1]Leakage Tree Data'!P140,"")</f>
        <v>1316858.25396986</v>
      </c>
      <c s="72">
        <f>IF('[1]Leakage Tree Data'!Q140&lt;&gt;"",'[1]Leakage Tree Data'!Q140,"")</f>
      </c>
      <c s="72">
        <f>IF('[1]Leakage Tree Data'!R140&lt;&gt;"",'[1]Leakage Tree Data'!R140,"")</f>
        <v>1017625.85098267</v>
      </c>
      <c s="72">
        <f>IF('[1]Leakage Tree Data'!S140&lt;&gt;"",'[1]Leakage Tree Data'!S140,"")</f>
        <v>636618.510070801</v>
      </c>
      <c s="72">
        <f>IF('[1]Leakage Tree Data'!T140&lt;&gt;"",'[1]Leakage Tree Data'!T140,"")</f>
        <v>0.488632960701217</v>
      </c>
      <c s="72">
        <f>IF('[1]Leakage Tree Data'!U140&lt;&gt;"",'[1]Leakage Tree Data'!U140,"")</f>
        <v>381007.340911865</v>
      </c>
      <c s="72">
        <f>IF('[1]Leakage Tree Data'!V140&lt;&gt;"",'[1]Leakage Tree Data'!V140,"")</f>
        <v>-0.488632960701224</v>
      </c>
      <c s="72">
        <f>IF('[1]Leakage Tree Data'!W140&lt;&gt;"",'[1]Leakage Tree Data'!W140,"")</f>
        <v>-1855949.2237854</v>
      </c>
      <c s="72">
        <f>IF('[1]Leakage Tree Data'!X140&lt;&gt;"",'[1]Leakage Tree Data'!X140,"")</f>
      </c>
      <c s="72">
        <f>IF('[1]Leakage Tree Data'!Y140&lt;&gt;"",'[1]Leakage Tree Data'!Y140,"")</f>
        <v>-0.0248285183448758</v>
      </c>
      <c s="72">
        <f>IF('[1]Leakage Tree Data'!Z140&lt;&gt;"",'[1]Leakage Tree Data'!Z140,"")</f>
        <v>10240.1762695313</v>
      </c>
      <c s="72">
        <f>IF('[1]Leakage Tree Data'!AA140&lt;&gt;"",'[1]Leakage Tree Data'!AA140,"")</f>
      </c>
      <c s="72">
        <f>IF('[1]Leakage Tree Data'!AB140&lt;&gt;"",'[1]Leakage Tree Data'!AB140,"")</f>
      </c>
      <c s="72">
        <f>IF('[1]Leakage Tree Data'!AC140&lt;&gt;"",'[1]Leakage Tree Data'!AC140,"")</f>
      </c>
      <c s="72">
        <f>IF('[1]Leakage Tree Data'!AD140&lt;&gt;"",'[1]Leakage Tree Data'!AD140,"")</f>
        <v>-0.195777219863273</v>
      </c>
      <c s="72">
        <f>IF('[1]Leakage Tree Data'!AE140&lt;&gt;"",'[1]Leakage Tree Data'!AE140,"")</f>
      </c>
      <c s="73">
        <f t="shared" ref="EC241:EC259" si="38">IF(AND(CV241=CW241,CV241&lt;&gt;"",DJ241&lt;&gt;""),IF(AND(ISERROR(FIND("NeighMkt",$CX$102))=FALSE,LEFT($CW$111,10)="ALL OUTLET"),DJ241-IF(ISERROR(VLOOKUP(CV241,$CA$113:$DK$300,36,FALSE))=TRUE,0,IF(VLOOKUP(CV241,$CA$113:$DK$300,36,FALSE)="",0,VLOOKUP(CV241,$CA$113:$DK$300,36,FALSE))),DJ241),"")</f>
      </c>
      <c s="73">
        <f t="shared" ref="ED241:ED259" si="39">IF(AND(CV241=CW241,CV241&lt;&gt;"",DI$111&lt;&gt;"",DK241&lt;&gt;""),IF(CW$101="Y",DK241-IF(ISERROR(VLOOKUP(CV241,$CA$113:$DK$300,37,FALSE))=TRUE,0,IF(VLOOKUP(CV241,$CA$113:$DK$300,37,FALSE)="",0,VLOOKUP(CV241,$CA$113:$DK$300,37,FALSE))),DK241-IF(AND(CW$102="Y",CV241=$CW$111),DI$111,0)),"")</f>
      </c>
      <c s="73">
        <f t="shared" ref="EE241:EE259" si="40">IF(AND(CV241=CW241,CV241&lt;&gt;"",DJ241&lt;&gt;"",DY241&lt;&gt;""),IF(AND(ISERROR(FIND("NeighMkt",$CX$102))=FALSE,LEFT($CW$111,10)="ALL OUTLET"),DY241-IF(ISERROR(VLOOKUP(CV241,$CA$113:$DZ$300,51,FALSE))=TRUE,0,IF(VLOOKUP(CV241,$CA$113:$DZ$300,51,FALSE)="",0,VLOOKUP(CV241,$CA$113:$DZ$300,51,FALSE))),DY241),"")</f>
      </c>
      <c s="73">
        <f t="shared" ref="EF241:EF259" si="41">IF(AND(CV241=CW241,CV241&lt;&gt;"",DI$111&lt;&gt;"",DK241&lt;&gt;"",DZ241&lt;&gt;""),IF(CW$101="Y",DZ241-IF(ISERROR(VLOOKUP(CV241,$CA$113:$DZ$300,52,FALSE))=TRUE,0,IF(VLOOKUP(CV241,$CA$113:$DZ$300,52,FALSE)="",0,VLOOKUP(CV241,$CA$113:$DZ$300,52,FALSE))),DZ241-IF(AND(CW$102="Y",CV241=$CW$111),DX$111,0)),"")</f>
      </c>
      <c s="74">
        <f t="shared" si="32"/>
      </c>
      <c s="74">
        <f t="shared" si="33"/>
      </c>
      <c s="69" t="str">
        <f t="shared" si="34"/>
        <v>Total US - Target.com</v>
      </c>
      <c s="69" t="str">
        <f t="shared" si="35"/>
        <v>Total US - Internet</v>
      </c>
      <c s="77"/>
    </row>
    <row r="242" spans="1:141" s="92" customFormat="1" ht="15">
      <c r="A2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242,$AL$8:$AL$15,1,FALSE))=TRUE,IF(AND(CV242=CW242,CV242&lt;&gt;"",DI$111&lt;&gt;"",DK242&lt;&gt;""),IF(CW$101="Y",DK242-IF(ISERROR(VLOOKUP(CV242,$CA$113:$DK$300,37,FALSE))=TRUE,0,IF(VLOOKUP(CV242,$CA$113:$DK$300,37,FALSE)="",0,VLOOKUP(CV242,$CA$113:$DK$300,37,FALSE))),DK242-IF(AND(CW$102="Y",CV242=$CW$111),DI$111,0)),""),"")</f>
      </c>
      <c s="76">
        <f>IF(ISERROR(VLOOKUP(CV242,$AL$8:$AL$15,1,FALSE))=TRUE,IF(CB242&lt;&gt;"",IF(CB242&gt;0,IF(Z$4&lt;&gt;"",MIN(4,RANK(CB242,$CB$111:$CB$300)),RANK(CB242,$CB$111:$CB$300)),""),""),"")</f>
      </c>
      <c s="75">
        <f>IF(ISERROR(VLOOKUP(CV242,$AL$8:$AL$15,1,FALSE))=TRUE,IF(AND(ISERROR(FIND("NeighMkt",$CX$102))=FALSE,LEFT($CW$111,10)="ALL OUTLET",$CA242&lt;&gt;"",DK242&lt;&gt;""),"",IF(AND($CV242&lt;&gt;$CW242,$CW242=CD$110),$DK242,"")),"")</f>
      </c>
      <c s="76">
        <f>IF(ISERROR(VLOOKUP(CV242,$AL$8:$AL$15,1,FALSE))=TRUE,IF(CD242&lt;&gt;"",IF(CD242&gt;0,RANK(CD242,$CD$111:$CD$300),""),""),"")</f>
      </c>
      <c s="75">
        <f>IF(ISERROR(VLOOKUP(CV242,$AL$8:$AL$15,1,FALSE))=TRUE,IF(AND(ISERROR(FIND("NeighMkt",$CX$102))=FALSE,LEFT($CW$111,10)="ALL OUTLET",$CA242&lt;&gt;"",DK242&lt;&gt;""),"",IF(AND($CV242&lt;&gt;$CW242,$CW242=CF$110),$DK242,"")),"")</f>
      </c>
      <c s="76">
        <f>IF(ISERROR(VLOOKUP(CV242,$AL$8:$AL$15,1,FALSE))=TRUE,IF(CF242&lt;&gt;"",IF(CF242&gt;0,RANK(CF242,$CF$111:$CF$300),""),""),"")</f>
      </c>
      <c s="75">
        <f>IF(ISERROR(VLOOKUP(CV242,$AL$8:$AL$15,1,FALSE))=TRUE,IF(AND(ISERROR(FIND("NeighMkt",$CX$102))=FALSE,LEFT($CW$111,10)="ALL OUTLET",$CA242&lt;&gt;"",DK242&lt;&gt;""),"",IF(AND($CV242&lt;&gt;$CW242,$CW242=CH$110),$DK242,"")),"")</f>
      </c>
      <c s="76">
        <f>IF(ISERROR(VLOOKUP(CV242,$AL$8:$AL$15,1,FALSE))=TRUE,IF(CH242&lt;&gt;"",IF(CH242&gt;0,RANK(CH242,$CH$111:$CH$300),""),""),"")</f>
      </c>
      <c s="75">
        <f>IF(ISERROR(VLOOKUP(CV242,$AL$8:$AL$15,1,FALSE))=TRUE,IF(AND(ISERROR(FIND("NeighMkt",$CX$102))=FALSE,LEFT($CW$111,10)="ALL OUTLET",$CA242&lt;&gt;"",DK242&lt;&gt;""),"",IF($Z$4="",IF(AND($CV242&lt;&gt;$CW242,$CW242=CJ$110),$DK242,""),IF(AND($CV242&lt;&gt;$CW242,$CW242&lt;&gt;CD$110,$CW242&lt;&gt;CF$110,$CW242&lt;&gt;CH$110,$CW242&lt;&gt;$CV$111),$DK242,""))),"")</f>
      </c>
      <c s="76">
        <f>IF(ISERROR(VLOOKUP(CV242,$AL$8:$AL$15,1,FALSE))=TRUE,IF(CJ242&lt;&gt;"",IF(CJ242&gt;0,RANK(CJ242,$CJ$111:$CJ$300),""),""),"")</f>
      </c>
      <c s="75">
        <f>IF(ISERROR(VLOOKUP(CV242,$AL$8:$AL$15,1,FALSE))=TRUE,IF(AND(CV242=CW242,CV242&lt;&gt;"",DJ242&lt;&gt;""),IF(AND(ISERROR(FIND("NeighMkt",$CX$102))=FALSE,LEFT($CW$111,10)="ALL OUTLET"),DJ242-IF(ISERROR(VLOOKUP(CV242,$CA$113:$DK$300,36,FALSE))=TRUE,0,IF(VLOOKUP(CV242,$CA$113:$DK$300,36,FALSE)="",0,VLOOKUP(CV242,$CA$113:$DK$300,36,FALSE))),DJ242),""),"")</f>
      </c>
      <c s="76">
        <f>IF(ISERROR(VLOOKUP(CV242,$AL$8:$AL$15,1,FALSE))=TRUE,IF(CL242&lt;&gt;"",IF(CL242&gt;0,IF($Z$4&lt;&gt;"",MIN(4,RANK(CL242,$CL$111:$CL$300)),RANK(CL242,$CL$111:$CL$300)),""),""),"")</f>
      </c>
      <c s="75">
        <f>IF(ISERROR(VLOOKUP(CV242,$AL$8:$AL$15,1,FALSE))=TRUE,IF(AND(ISERROR(FIND("NeighMkt",$CX$102))=FALSE,LEFT($CW$111,10)="ALL OUTLET",$CA242&lt;&gt;"",DJ242&lt;&gt;""),"",IF(AND($CV242&lt;&gt;$CW242,$CW242=CN$110),$DJ242,"")),"")</f>
      </c>
      <c s="76">
        <f>IF(ISERROR(VLOOKUP(CV242,$AL$8:$AL$15,1,FALSE))=TRUE,IF(CN242&lt;&gt;"",IF(CN242&gt;0,RANK(CN242,$CN$111:$CN$300),""),""),"")</f>
      </c>
      <c s="75">
        <f>IF(ISERROR(VLOOKUP(CV242,$AL$8:$AL$15,1,FALSE))=TRUE,IF(AND(ISERROR(FIND("NeighMkt",$CX$102))=FALSE,LEFT($CW$111,10)="ALL OUTLET",$CA242&lt;&gt;"",DJ242&lt;&gt;""),"",IF(AND($CV242&lt;&gt;$CW242,$CW242=CP$110),$DJ242,"")),"")</f>
      </c>
      <c s="76">
        <f>IF(ISERROR(VLOOKUP(CV242,$AL$8:$AL$15,1,FALSE))=TRUE,IF(CP242&lt;&gt;"",IF(CP242&gt;0,RANK(CP242,$CP$111:$CP$300),""),""),"")</f>
      </c>
      <c s="75">
        <f>IF(ISERROR(VLOOKUP(CV242,$AL$8:$AL$15,1,FALSE))=TRUE,IF(AND(ISERROR(FIND("NeighMkt",$CX$102))=FALSE,LEFT($CW$111,10)="ALL OUTLET",$CA242&lt;&gt;"",DJ242&lt;&gt;""),"",IF(AND($CV242&lt;&gt;$CW242,$CW242=CR$110),$DJ242,"")),"")</f>
      </c>
      <c s="76">
        <f>IF(ISERROR(VLOOKUP(CV242,$AL$8:$AL$15,1,FALSE))=TRUE,IF(CR242&lt;&gt;"",IF(CR242&gt;0,RANK(CR242,$CR$111:$CR$300),""),""),"")</f>
      </c>
      <c s="75">
        <f>IF(ISERROR(VLOOKUP(CV242,$AL$8:$AL$15,1,FALSE))=TRUE,IF(AND(ISERROR(FIND("NeighMkt",$CX$102))=FALSE,LEFT($CW$111,10)="ALL OUTLET",$CA242&lt;&gt;"",DJ242&lt;&gt;""),"",IF($Z$4="",IF(AND($CV242&lt;&gt;$CW242,$CW242=CT$110),$DJ242,""),IF(AND($CV242&lt;&gt;$CW242,$CW242&lt;&gt;CN$110,$CW242&lt;&gt;CP$110,$CW242&lt;&gt;CR$110,$CW242&lt;&gt;$CV$111),$DJ242,""))),"")</f>
      </c>
      <c s="76">
        <f>IF(ISERROR(VLOOKUP(CV242,$AL$8:$AL$15,1,FALSE))=TRUE,IF(CT242&lt;&gt;"",IF(CT242&gt;0,RANK(CT242,$CT$111:$CT$300),""),""),"")</f>
      </c>
      <c s="65" t="str">
        <f t="shared" si="36"/>
        <v>Ulta.com</v>
      </c>
      <c s="65" t="str">
        <f t="shared" si="37"/>
        <v>Internet</v>
      </c>
      <c s="72" t="str">
        <f>IF('[1]Leakage Tree Data'!A141&lt;&gt;"",'[1]Leakage Tree Data'!A141,"")</f>
        <v>Total US - Ulta.com</v>
      </c>
      <c s="72" t="str">
        <f>IF('[1]Leakage Tree Data'!B141&lt;&gt;"",'[1]Leakage Tree Data'!B141,"")</f>
        <v>Total US - Internet</v>
      </c>
      <c s="72">
        <f>IF('[1]Leakage Tree Data'!C141&lt;&gt;"",'[1]Leakage Tree Data'!C141,"")</f>
        <v>121171760.292236</v>
      </c>
      <c s="72">
        <f>IF('[1]Leakage Tree Data'!D141&lt;&gt;"",'[1]Leakage Tree Data'!D141,"")</f>
        <v>654080.732788086</v>
      </c>
      <c s="72">
        <f>IF('[1]Leakage Tree Data'!E141&lt;&gt;"",'[1]Leakage Tree Data'!E141,"")</f>
        <v>0.539796344635586</v>
      </c>
      <c s="72">
        <f>IF('[1]Leakage Tree Data'!F141&lt;&gt;"",'[1]Leakage Tree Data'!F141,"")</f>
        <v>120517679.559448</v>
      </c>
      <c s="72">
        <f>IF('[1]Leakage Tree Data'!G141&lt;&gt;"",'[1]Leakage Tree Data'!G141,"")</f>
        <v>99.4602036553644</v>
      </c>
      <c s="72">
        <f>IF('[1]Leakage Tree Data'!H141&lt;&gt;"",'[1]Leakage Tree Data'!H141,"")</f>
        <v>61518209.9918823</v>
      </c>
      <c s="72" t="str">
        <f>IF('[1]Leakage Tree Data'!I141&lt;&gt;"",'[1]Leakage Tree Data'!I141,"")</f>
        <v>Internet</v>
      </c>
      <c s="72">
        <f>IF('[1]Leakage Tree Data'!J141&lt;&gt;"",'[1]Leakage Tree Data'!J141,"")</f>
      </c>
      <c s="72">
        <f>IF('[1]Leakage Tree Data'!K141&lt;&gt;"",'[1]Leakage Tree Data'!K141,"")</f>
      </c>
      <c s="72">
        <f>IF('[1]Leakage Tree Data'!L141&lt;&gt;"",'[1]Leakage Tree Data'!L141,"")</f>
      </c>
      <c s="72">
        <f>IF('[1]Leakage Tree Data'!M141&lt;&gt;"",'[1]Leakage Tree Data'!M141,"")</f>
      </c>
      <c s="72">
        <f>IF('[1]Leakage Tree Data'!N141&lt;&gt;"",'[1]Leakage Tree Data'!N141,"")</f>
      </c>
      <c s="72">
        <f>IF('[1]Leakage Tree Data'!O141&lt;&gt;"",'[1]Leakage Tree Data'!O141,"")</f>
      </c>
      <c s="72">
        <f>IF('[1]Leakage Tree Data'!P141&lt;&gt;"",'[1]Leakage Tree Data'!P141,"")</f>
      </c>
      <c s="72">
        <f>IF('[1]Leakage Tree Data'!Q141&lt;&gt;"",'[1]Leakage Tree Data'!Q141,"")</f>
      </c>
      <c s="72">
        <f>IF('[1]Leakage Tree Data'!R141&lt;&gt;"",'[1]Leakage Tree Data'!R141,"")</f>
        <v>1017625.85098267</v>
      </c>
      <c s="72">
        <f>IF('[1]Leakage Tree Data'!S141&lt;&gt;"",'[1]Leakage Tree Data'!S141,"")</f>
        <v>-66530.2734985352</v>
      </c>
      <c s="72">
        <f>IF('[1]Leakage Tree Data'!T141&lt;&gt;"",'[1]Leakage Tree Data'!T141,"")</f>
        <v>-0.059942490517811</v>
      </c>
      <c s="72">
        <f>IF('[1]Leakage Tree Data'!U141&lt;&gt;"",'[1]Leakage Tree Data'!U141,"")</f>
        <v>1084156.1244812</v>
      </c>
      <c s="72">
        <f>IF('[1]Leakage Tree Data'!V141&lt;&gt;"",'[1]Leakage Tree Data'!V141,"")</f>
        <v>0.0599424905178125</v>
      </c>
      <c s="72">
        <f>IF('[1]Leakage Tree Data'!W141&lt;&gt;"",'[1]Leakage Tree Data'!W141,"")</f>
        <v>-1855949.2237854</v>
      </c>
      <c s="72">
        <f>IF('[1]Leakage Tree Data'!X141&lt;&gt;"",'[1]Leakage Tree Data'!X141,"")</f>
      </c>
      <c s="72">
        <f>IF('[1]Leakage Tree Data'!Y141&lt;&gt;"",'[1]Leakage Tree Data'!Y141,"")</f>
      </c>
      <c s="72">
        <f>IF('[1]Leakage Tree Data'!Z141&lt;&gt;"",'[1]Leakage Tree Data'!Z141,"")</f>
      </c>
      <c s="72">
        <f>IF('[1]Leakage Tree Data'!AA141&lt;&gt;"",'[1]Leakage Tree Data'!AA141,"")</f>
      </c>
      <c s="72">
        <f>IF('[1]Leakage Tree Data'!AB141&lt;&gt;"",'[1]Leakage Tree Data'!AB141,"")</f>
      </c>
      <c s="72">
        <f>IF('[1]Leakage Tree Data'!AC141&lt;&gt;"",'[1]Leakage Tree Data'!AC141,"")</f>
      </c>
      <c s="72">
        <f>IF('[1]Leakage Tree Data'!AD141&lt;&gt;"",'[1]Leakage Tree Data'!AD141,"")</f>
      </c>
      <c s="72">
        <f>IF('[1]Leakage Tree Data'!AE141&lt;&gt;"",'[1]Leakage Tree Data'!AE141,"")</f>
      </c>
      <c s="73">
        <f t="shared" si="38"/>
      </c>
      <c s="73">
        <f t="shared" si="39"/>
      </c>
      <c s="73">
        <f t="shared" si="40"/>
      </c>
      <c s="73">
        <f t="shared" si="41"/>
      </c>
      <c s="74">
        <f t="shared" si="32"/>
      </c>
      <c s="74">
        <f t="shared" si="33"/>
      </c>
      <c s="69" t="str">
        <f t="shared" si="34"/>
        <v>Total US - Ulta.com</v>
      </c>
      <c s="69" t="str">
        <f t="shared" si="35"/>
        <v>Total US - Internet</v>
      </c>
      <c s="77"/>
    </row>
    <row r="243" spans="1:141" s="92" customFormat="1" ht="15">
      <c r="A2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243,$AL$8:$AL$15,1,FALSE))=TRUE,IF(AND(CV243=CW243,CV243&lt;&gt;"",DI$111&lt;&gt;"",DK243&lt;&gt;""),IF(CW$101="Y",DK243-IF(ISERROR(VLOOKUP(CV243,$CA$113:$DK$300,37,FALSE))=TRUE,0,IF(VLOOKUP(CV243,$CA$113:$DK$300,37,FALSE)="",0,VLOOKUP(CV243,$CA$113:$DK$300,37,FALSE))),DK243-IF(AND(CW$102="Y",CV243=$CW$111),DI$111,0)),""),"")</f>
      </c>
      <c s="76">
        <f>IF(ISERROR(VLOOKUP(CV243,$AL$8:$AL$15,1,FALSE))=TRUE,IF(CB243&lt;&gt;"",IF(CB243&gt;0,IF(Z$4&lt;&gt;"",MIN(4,RANK(CB243,$CB$111:$CB$300)),RANK(CB243,$CB$111:$CB$300)),""),""),"")</f>
      </c>
      <c s="75">
        <f>IF(ISERROR(VLOOKUP(CV243,$AL$8:$AL$15,1,FALSE))=TRUE,IF(AND(ISERROR(FIND("NeighMkt",$CX$102))=FALSE,LEFT($CW$111,10)="ALL OUTLET",$CA243&lt;&gt;"",DK243&lt;&gt;""),"",IF(AND($CV243&lt;&gt;$CW243,$CW243=CD$110),$DK243,"")),"")</f>
      </c>
      <c s="76">
        <f>IF(ISERROR(VLOOKUP(CV243,$AL$8:$AL$15,1,FALSE))=TRUE,IF(CD243&lt;&gt;"",IF(CD243&gt;0,RANK(CD243,$CD$111:$CD$300),""),""),"")</f>
      </c>
      <c s="75">
        <f>IF(ISERROR(VLOOKUP(CV243,$AL$8:$AL$15,1,FALSE))=TRUE,IF(AND(ISERROR(FIND("NeighMkt",$CX$102))=FALSE,LEFT($CW$111,10)="ALL OUTLET",$CA243&lt;&gt;"",DK243&lt;&gt;""),"",IF(AND($CV243&lt;&gt;$CW243,$CW243=CF$110),$DK243,"")),"")</f>
      </c>
      <c s="76">
        <f>IF(ISERROR(VLOOKUP(CV243,$AL$8:$AL$15,1,FALSE))=TRUE,IF(CF243&lt;&gt;"",IF(CF243&gt;0,RANK(CF243,$CF$111:$CF$300),""),""),"")</f>
      </c>
      <c s="75">
        <f>IF(ISERROR(VLOOKUP(CV243,$AL$8:$AL$15,1,FALSE))=TRUE,IF(AND(ISERROR(FIND("NeighMkt",$CX$102))=FALSE,LEFT($CW$111,10)="ALL OUTLET",$CA243&lt;&gt;"",DK243&lt;&gt;""),"",IF(AND($CV243&lt;&gt;$CW243,$CW243=CH$110),$DK243,"")),"")</f>
      </c>
      <c s="76">
        <f>IF(ISERROR(VLOOKUP(CV243,$AL$8:$AL$15,1,FALSE))=TRUE,IF(CH243&lt;&gt;"",IF(CH243&gt;0,RANK(CH243,$CH$111:$CH$300),""),""),"")</f>
      </c>
      <c s="75">
        <f>IF(ISERROR(VLOOKUP(CV243,$AL$8:$AL$15,1,FALSE))=TRUE,IF(AND(ISERROR(FIND("NeighMkt",$CX$102))=FALSE,LEFT($CW$111,10)="ALL OUTLET",$CA243&lt;&gt;"",DK243&lt;&gt;""),"",IF($Z$4="",IF(AND($CV243&lt;&gt;$CW243,$CW243=CJ$110),$DK243,""),IF(AND($CV243&lt;&gt;$CW243,$CW243&lt;&gt;CD$110,$CW243&lt;&gt;CF$110,$CW243&lt;&gt;CH$110,$CW243&lt;&gt;$CV$111),$DK243,""))),"")</f>
      </c>
      <c s="76">
        <f>IF(ISERROR(VLOOKUP(CV243,$AL$8:$AL$15,1,FALSE))=TRUE,IF(CJ243&lt;&gt;"",IF(CJ243&gt;0,RANK(CJ243,$CJ$111:$CJ$300),""),""),"")</f>
      </c>
      <c s="75">
        <f>IF(ISERROR(VLOOKUP(CV243,$AL$8:$AL$15,1,FALSE))=TRUE,IF(AND(CV243=CW243,CV243&lt;&gt;"",DJ243&lt;&gt;""),IF(AND(ISERROR(FIND("NeighMkt",$CX$102))=FALSE,LEFT($CW$111,10)="ALL OUTLET"),DJ243-IF(ISERROR(VLOOKUP(CV243,$CA$113:$DK$300,36,FALSE))=TRUE,0,IF(VLOOKUP(CV243,$CA$113:$DK$300,36,FALSE)="",0,VLOOKUP(CV243,$CA$113:$DK$300,36,FALSE))),DJ243),""),"")</f>
      </c>
      <c s="76">
        <f>IF(ISERROR(VLOOKUP(CV243,$AL$8:$AL$15,1,FALSE))=TRUE,IF(CL243&lt;&gt;"",IF(CL243&gt;0,IF($Z$4&lt;&gt;"",MIN(4,RANK(CL243,$CL$111:$CL$300)),RANK(CL243,$CL$111:$CL$300)),""),""),"")</f>
      </c>
      <c s="75">
        <f>IF(ISERROR(VLOOKUP(CV243,$AL$8:$AL$15,1,FALSE))=TRUE,IF(AND(ISERROR(FIND("NeighMkt",$CX$102))=FALSE,LEFT($CW$111,10)="ALL OUTLET",$CA243&lt;&gt;"",DJ243&lt;&gt;""),"",IF(AND($CV243&lt;&gt;$CW243,$CW243=CN$110),$DJ243,"")),"")</f>
      </c>
      <c s="76">
        <f>IF(ISERROR(VLOOKUP(CV243,$AL$8:$AL$15,1,FALSE))=TRUE,IF(CN243&lt;&gt;"",IF(CN243&gt;0,RANK(CN243,$CN$111:$CN$300),""),""),"")</f>
      </c>
      <c s="75">
        <f>IF(ISERROR(VLOOKUP(CV243,$AL$8:$AL$15,1,FALSE))=TRUE,IF(AND(ISERROR(FIND("NeighMkt",$CX$102))=FALSE,LEFT($CW$111,10)="ALL OUTLET",$CA243&lt;&gt;"",DJ243&lt;&gt;""),"",IF(AND($CV243&lt;&gt;$CW243,$CW243=CP$110),$DJ243,"")),"")</f>
      </c>
      <c s="76">
        <f>IF(ISERROR(VLOOKUP(CV243,$AL$8:$AL$15,1,FALSE))=TRUE,IF(CP243&lt;&gt;"",IF(CP243&gt;0,RANK(CP243,$CP$111:$CP$300),""),""),"")</f>
      </c>
      <c s="75">
        <f>IF(ISERROR(VLOOKUP(CV243,$AL$8:$AL$15,1,FALSE))=TRUE,IF(AND(ISERROR(FIND("NeighMkt",$CX$102))=FALSE,LEFT($CW$111,10)="ALL OUTLET",$CA243&lt;&gt;"",DJ243&lt;&gt;""),"",IF(AND($CV243&lt;&gt;$CW243,$CW243=CR$110),$DJ243,"")),"")</f>
      </c>
      <c s="76">
        <f>IF(ISERROR(VLOOKUP(CV243,$AL$8:$AL$15,1,FALSE))=TRUE,IF(CR243&lt;&gt;"",IF(CR243&gt;0,RANK(CR243,$CR$111:$CR$300),""),""),"")</f>
      </c>
      <c s="75">
        <f>IF(ISERROR(VLOOKUP(CV243,$AL$8:$AL$15,1,FALSE))=TRUE,IF(AND(ISERROR(FIND("NeighMkt",$CX$102))=FALSE,LEFT($CW$111,10)="ALL OUTLET",$CA243&lt;&gt;"",DJ243&lt;&gt;""),"",IF($Z$4="",IF(AND($CV243&lt;&gt;$CW243,$CW243=CT$110),$DJ243,""),IF(AND($CV243&lt;&gt;$CW243,$CW243&lt;&gt;CN$110,$CW243&lt;&gt;CP$110,$CW243&lt;&gt;CR$110,$CW243&lt;&gt;$CV$111),$DJ243,""))),"")</f>
      </c>
      <c s="76">
        <f>IF(ISERROR(VLOOKUP(CV243,$AL$8:$AL$15,1,FALSE))=TRUE,IF(CT243&lt;&gt;"",IF(CT243&gt;0,RANK(CT243,$CT$111:$CT$300),""),""),"")</f>
      </c>
      <c s="65" t="str">
        <f t="shared" si="36"/>
        <v>Vitacost.com</v>
      </c>
      <c s="65" t="str">
        <f t="shared" si="37"/>
        <v>Internet</v>
      </c>
      <c s="72" t="str">
        <f>IF('[1]Leakage Tree Data'!A142&lt;&gt;"",'[1]Leakage Tree Data'!A142,"")</f>
        <v>Total US - Vitacost.com</v>
      </c>
      <c s="72" t="str">
        <f>IF('[1]Leakage Tree Data'!B142&lt;&gt;"",'[1]Leakage Tree Data'!B142,"")</f>
        <v>Total US - Internet</v>
      </c>
      <c s="72">
        <f>IF('[1]Leakage Tree Data'!C142&lt;&gt;"",'[1]Leakage Tree Data'!C142,"")</f>
        <v>121171760.292236</v>
      </c>
      <c s="72">
        <f>IF('[1]Leakage Tree Data'!D142&lt;&gt;"",'[1]Leakage Tree Data'!D142,"")</f>
        <v>838311.959472656</v>
      </c>
      <c s="72">
        <f>IF('[1]Leakage Tree Data'!E142&lt;&gt;"",'[1]Leakage Tree Data'!E142,"")</f>
        <v>0.691837733025298</v>
      </c>
      <c s="72">
        <f>IF('[1]Leakage Tree Data'!F142&lt;&gt;"",'[1]Leakage Tree Data'!F142,"")</f>
        <v>120333448.332764</v>
      </c>
      <c s="72">
        <f>IF('[1]Leakage Tree Data'!G142&lt;&gt;"",'[1]Leakage Tree Data'!G142,"")</f>
        <v>99.3081622669747</v>
      </c>
      <c s="72">
        <f>IF('[1]Leakage Tree Data'!H142&lt;&gt;"",'[1]Leakage Tree Data'!H142,"")</f>
        <v>61518209.9918823</v>
      </c>
      <c s="72" t="str">
        <f>IF('[1]Leakage Tree Data'!I142&lt;&gt;"",'[1]Leakage Tree Data'!I142,"")</f>
        <v>Internet</v>
      </c>
      <c s="72">
        <f>IF('[1]Leakage Tree Data'!J142&lt;&gt;"",'[1]Leakage Tree Data'!J142,"")</f>
      </c>
      <c s="72">
        <f>IF('[1]Leakage Tree Data'!K142&lt;&gt;"",'[1]Leakage Tree Data'!K142,"")</f>
      </c>
      <c s="72">
        <f>IF('[1]Leakage Tree Data'!L142&lt;&gt;"",'[1]Leakage Tree Data'!L142,"")</f>
      </c>
      <c s="72">
        <f>IF('[1]Leakage Tree Data'!M142&lt;&gt;"",'[1]Leakage Tree Data'!M142,"")</f>
      </c>
      <c s="72">
        <f>IF('[1]Leakage Tree Data'!N142&lt;&gt;"",'[1]Leakage Tree Data'!N142,"")</f>
      </c>
      <c s="72">
        <f>IF('[1]Leakage Tree Data'!O142&lt;&gt;"",'[1]Leakage Tree Data'!O142,"")</f>
      </c>
      <c s="72">
        <f>IF('[1]Leakage Tree Data'!P142&lt;&gt;"",'[1]Leakage Tree Data'!P142,"")</f>
      </c>
      <c s="72">
        <f>IF('[1]Leakage Tree Data'!Q142&lt;&gt;"",'[1]Leakage Tree Data'!Q142,"")</f>
      </c>
      <c s="72">
        <f>IF('[1]Leakage Tree Data'!R142&lt;&gt;"",'[1]Leakage Tree Data'!R142,"")</f>
        <v>1017625.85098267</v>
      </c>
      <c s="72">
        <f>IF('[1]Leakage Tree Data'!S142&lt;&gt;"",'[1]Leakage Tree Data'!S142,"")</f>
        <v>123364.483978271</v>
      </c>
      <c s="72">
        <f>IF('[1]Leakage Tree Data'!T142&lt;&gt;"",'[1]Leakage Tree Data'!T142,"")</f>
        <v>0.096812452522828</v>
      </c>
      <c s="72">
        <f>IF('[1]Leakage Tree Data'!U142&lt;&gt;"",'[1]Leakage Tree Data'!U142,"")</f>
        <v>894261.367004395</v>
      </c>
      <c s="72">
        <f>IF('[1]Leakage Tree Data'!V142&lt;&gt;"",'[1]Leakage Tree Data'!V142,"")</f>
        <v>-0.0968124525228262</v>
      </c>
      <c s="72">
        <f>IF('[1]Leakage Tree Data'!W142&lt;&gt;"",'[1]Leakage Tree Data'!W142,"")</f>
        <v>-1855949.2237854</v>
      </c>
      <c s="72">
        <f>IF('[1]Leakage Tree Data'!X142&lt;&gt;"",'[1]Leakage Tree Data'!X142,"")</f>
      </c>
      <c s="72">
        <f>IF('[1]Leakage Tree Data'!Y142&lt;&gt;"",'[1]Leakage Tree Data'!Y142,"")</f>
      </c>
      <c s="72">
        <f>IF('[1]Leakage Tree Data'!Z142&lt;&gt;"",'[1]Leakage Tree Data'!Z142,"")</f>
      </c>
      <c s="72">
        <f>IF('[1]Leakage Tree Data'!AA142&lt;&gt;"",'[1]Leakage Tree Data'!AA142,"")</f>
      </c>
      <c s="72">
        <f>IF('[1]Leakage Tree Data'!AB142&lt;&gt;"",'[1]Leakage Tree Data'!AB142,"")</f>
      </c>
      <c s="72">
        <f>IF('[1]Leakage Tree Data'!AC142&lt;&gt;"",'[1]Leakage Tree Data'!AC142,"")</f>
      </c>
      <c s="72">
        <f>IF('[1]Leakage Tree Data'!AD142&lt;&gt;"",'[1]Leakage Tree Data'!AD142,"")</f>
      </c>
      <c s="72">
        <f>IF('[1]Leakage Tree Data'!AE142&lt;&gt;"",'[1]Leakage Tree Data'!AE142,"")</f>
      </c>
      <c s="73">
        <f t="shared" si="38"/>
      </c>
      <c s="73">
        <f t="shared" si="39"/>
      </c>
      <c s="73">
        <f t="shared" si="40"/>
      </c>
      <c s="73">
        <f t="shared" si="41"/>
      </c>
      <c s="74">
        <f t="shared" si="32"/>
      </c>
      <c s="74">
        <f t="shared" si="33"/>
      </c>
      <c s="69" t="str">
        <f t="shared" si="34"/>
        <v>Total US - Vitacost.com</v>
      </c>
      <c s="69" t="str">
        <f t="shared" si="35"/>
        <v>Total US - Internet</v>
      </c>
      <c s="77"/>
    </row>
    <row r="244" spans="1:141" s="92" customFormat="1" ht="15">
      <c r="A2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244,$AL$8:$AL$15,1,FALSE))=TRUE,IF(AND(CV244=CW244,CV244&lt;&gt;"",DI$111&lt;&gt;"",DK244&lt;&gt;""),IF(CW$101="Y",DK244-IF(ISERROR(VLOOKUP(CV244,$CA$113:$DK$300,37,FALSE))=TRUE,0,IF(VLOOKUP(CV244,$CA$113:$DK$300,37,FALSE)="",0,VLOOKUP(CV244,$CA$113:$DK$300,37,FALSE))),DK244-IF(AND(CW$102="Y",CV244=$CW$111),DI$111,0)),""),"")</f>
      </c>
      <c s="76">
        <f>IF(ISERROR(VLOOKUP(CV244,$AL$8:$AL$15,1,FALSE))=TRUE,IF(CB244&lt;&gt;"",IF(CB244&gt;0,IF(Z$4&lt;&gt;"",MIN(4,RANK(CB244,$CB$111:$CB$300)),RANK(CB244,$CB$111:$CB$300)),""),""),"")</f>
      </c>
      <c s="75">
        <f>IF(ISERROR(VLOOKUP(CV244,$AL$8:$AL$15,1,FALSE))=TRUE,IF(AND(ISERROR(FIND("NeighMkt",$CX$102))=FALSE,LEFT($CW$111,10)="ALL OUTLET",$CA244&lt;&gt;"",DK244&lt;&gt;""),"",IF(AND($CV244&lt;&gt;$CW244,$CW244=CD$110),$DK244,"")),"")</f>
      </c>
      <c s="76">
        <f>IF(ISERROR(VLOOKUP(CV244,$AL$8:$AL$15,1,FALSE))=TRUE,IF(CD244&lt;&gt;"",IF(CD244&gt;0,RANK(CD244,$CD$111:$CD$300),""),""),"")</f>
      </c>
      <c s="75">
        <f>IF(ISERROR(VLOOKUP(CV244,$AL$8:$AL$15,1,FALSE))=TRUE,IF(AND(ISERROR(FIND("NeighMkt",$CX$102))=FALSE,LEFT($CW$111,10)="ALL OUTLET",$CA244&lt;&gt;"",DK244&lt;&gt;""),"",IF(AND($CV244&lt;&gt;$CW244,$CW244=CF$110),$DK244,"")),"")</f>
      </c>
      <c s="76">
        <f>IF(ISERROR(VLOOKUP(CV244,$AL$8:$AL$15,1,FALSE))=TRUE,IF(CF244&lt;&gt;"",IF(CF244&gt;0,RANK(CF244,$CF$111:$CF$300),""),""),"")</f>
      </c>
      <c s="75">
        <f>IF(ISERROR(VLOOKUP(CV244,$AL$8:$AL$15,1,FALSE))=TRUE,IF(AND(ISERROR(FIND("NeighMkt",$CX$102))=FALSE,LEFT($CW$111,10)="ALL OUTLET",$CA244&lt;&gt;"",DK244&lt;&gt;""),"",IF(AND($CV244&lt;&gt;$CW244,$CW244=CH$110),$DK244,"")),"")</f>
      </c>
      <c s="76">
        <f>IF(ISERROR(VLOOKUP(CV244,$AL$8:$AL$15,1,FALSE))=TRUE,IF(CH244&lt;&gt;"",IF(CH244&gt;0,RANK(CH244,$CH$111:$CH$300),""),""),"")</f>
      </c>
      <c s="75">
        <f>IF(ISERROR(VLOOKUP(CV244,$AL$8:$AL$15,1,FALSE))=TRUE,IF(AND(ISERROR(FIND("NeighMkt",$CX$102))=FALSE,LEFT($CW$111,10)="ALL OUTLET",$CA244&lt;&gt;"",DK244&lt;&gt;""),"",IF($Z$4="",IF(AND($CV244&lt;&gt;$CW244,$CW244=CJ$110),$DK244,""),IF(AND($CV244&lt;&gt;$CW244,$CW244&lt;&gt;CD$110,$CW244&lt;&gt;CF$110,$CW244&lt;&gt;CH$110,$CW244&lt;&gt;$CV$111),$DK244,""))),"")</f>
      </c>
      <c s="76">
        <f>IF(ISERROR(VLOOKUP(CV244,$AL$8:$AL$15,1,FALSE))=TRUE,IF(CJ244&lt;&gt;"",IF(CJ244&gt;0,RANK(CJ244,$CJ$111:$CJ$300),""),""),"")</f>
      </c>
      <c s="75">
        <f>IF(ISERROR(VLOOKUP(CV244,$AL$8:$AL$15,1,FALSE))=TRUE,IF(AND(CV244=CW244,CV244&lt;&gt;"",DJ244&lt;&gt;""),IF(AND(ISERROR(FIND("NeighMkt",$CX$102))=FALSE,LEFT($CW$111,10)="ALL OUTLET"),DJ244-IF(ISERROR(VLOOKUP(CV244,$CA$113:$DK$300,36,FALSE))=TRUE,0,IF(VLOOKUP(CV244,$CA$113:$DK$300,36,FALSE)="",0,VLOOKUP(CV244,$CA$113:$DK$300,36,FALSE))),DJ244),""),"")</f>
      </c>
      <c s="76">
        <f>IF(ISERROR(VLOOKUP(CV244,$AL$8:$AL$15,1,FALSE))=TRUE,IF(CL244&lt;&gt;"",IF(CL244&gt;0,IF($Z$4&lt;&gt;"",MIN(4,RANK(CL244,$CL$111:$CL$300)),RANK(CL244,$CL$111:$CL$300)),""),""),"")</f>
      </c>
      <c s="75">
        <f>IF(ISERROR(VLOOKUP(CV244,$AL$8:$AL$15,1,FALSE))=TRUE,IF(AND(ISERROR(FIND("NeighMkt",$CX$102))=FALSE,LEFT($CW$111,10)="ALL OUTLET",$CA244&lt;&gt;"",DJ244&lt;&gt;""),"",IF(AND($CV244&lt;&gt;$CW244,$CW244=CN$110),$DJ244,"")),"")</f>
      </c>
      <c s="76">
        <f>IF(ISERROR(VLOOKUP(CV244,$AL$8:$AL$15,1,FALSE))=TRUE,IF(CN244&lt;&gt;"",IF(CN244&gt;0,RANK(CN244,$CN$111:$CN$300),""),""),"")</f>
      </c>
      <c s="75">
        <f>IF(ISERROR(VLOOKUP(CV244,$AL$8:$AL$15,1,FALSE))=TRUE,IF(AND(ISERROR(FIND("NeighMkt",$CX$102))=FALSE,LEFT($CW$111,10)="ALL OUTLET",$CA244&lt;&gt;"",DJ244&lt;&gt;""),"",IF(AND($CV244&lt;&gt;$CW244,$CW244=CP$110),$DJ244,"")),"")</f>
      </c>
      <c s="76">
        <f>IF(ISERROR(VLOOKUP(CV244,$AL$8:$AL$15,1,FALSE))=TRUE,IF(CP244&lt;&gt;"",IF(CP244&gt;0,RANK(CP244,$CP$111:$CP$300),""),""),"")</f>
      </c>
      <c s="75">
        <f>IF(ISERROR(VLOOKUP(CV244,$AL$8:$AL$15,1,FALSE))=TRUE,IF(AND(ISERROR(FIND("NeighMkt",$CX$102))=FALSE,LEFT($CW$111,10)="ALL OUTLET",$CA244&lt;&gt;"",DJ244&lt;&gt;""),"",IF(AND($CV244&lt;&gt;$CW244,$CW244=CR$110),$DJ244,"")),"")</f>
      </c>
      <c s="76">
        <f>IF(ISERROR(VLOOKUP(CV244,$AL$8:$AL$15,1,FALSE))=TRUE,IF(CR244&lt;&gt;"",IF(CR244&gt;0,RANK(CR244,$CR$111:$CR$300),""),""),"")</f>
      </c>
      <c s="75">
        <f>IF(ISERROR(VLOOKUP(CV244,$AL$8:$AL$15,1,FALSE))=TRUE,IF(AND(ISERROR(FIND("NeighMkt",$CX$102))=FALSE,LEFT($CW$111,10)="ALL OUTLET",$CA244&lt;&gt;"",DJ244&lt;&gt;""),"",IF($Z$4="",IF(AND($CV244&lt;&gt;$CW244,$CW244=CT$110),$DJ244,""),IF(AND($CV244&lt;&gt;$CW244,$CW244&lt;&gt;CN$110,$CW244&lt;&gt;CP$110,$CW244&lt;&gt;CR$110,$CW244&lt;&gt;$CV$111),$DJ244,""))),"")</f>
      </c>
      <c s="76">
        <f>IF(ISERROR(VLOOKUP(CV244,$AL$8:$AL$15,1,FALSE))=TRUE,IF(CT244&lt;&gt;"",IF(CT244&gt;0,RANK(CT244,$CT$111:$CT$300),""),""),"")</f>
      </c>
      <c s="65" t="str">
        <f t="shared" si="36"/>
        <v>Vitaminshop.com</v>
      </c>
      <c s="65" t="str">
        <f t="shared" si="37"/>
        <v>Internet</v>
      </c>
      <c s="72" t="str">
        <f>IF('[1]Leakage Tree Data'!A143&lt;&gt;"",'[1]Leakage Tree Data'!A143,"")</f>
        <v>Total US - Vitaminshop.com</v>
      </c>
      <c s="72" t="str">
        <f>IF('[1]Leakage Tree Data'!B143&lt;&gt;"",'[1]Leakage Tree Data'!B143,"")</f>
        <v>Total US - Internet</v>
      </c>
      <c s="72">
        <f>IF('[1]Leakage Tree Data'!C143&lt;&gt;"",'[1]Leakage Tree Data'!C143,"")</f>
        <v>121171760.292236</v>
      </c>
      <c s="72">
        <f>IF('[1]Leakage Tree Data'!D143&lt;&gt;"",'[1]Leakage Tree Data'!D143,"")</f>
        <v>1571952.77203369</v>
      </c>
      <c s="72">
        <f>IF('[1]Leakage Tree Data'!E143&lt;&gt;"",'[1]Leakage Tree Data'!E143,"")</f>
        <v>1.29729300642537</v>
      </c>
      <c s="72">
        <f>IF('[1]Leakage Tree Data'!F143&lt;&gt;"",'[1]Leakage Tree Data'!F143,"")</f>
        <v>119599807.520203</v>
      </c>
      <c s="72">
        <f>IF('[1]Leakage Tree Data'!G143&lt;&gt;"",'[1]Leakage Tree Data'!G143,"")</f>
        <v>98.7027069935746</v>
      </c>
      <c s="72">
        <f>IF('[1]Leakage Tree Data'!H143&lt;&gt;"",'[1]Leakage Tree Data'!H143,"")</f>
        <v>61518209.9918823</v>
      </c>
      <c s="72" t="str">
        <f>IF('[1]Leakage Tree Data'!I143&lt;&gt;"",'[1]Leakage Tree Data'!I143,"")</f>
        <v>Internet</v>
      </c>
      <c s="72">
        <f>IF('[1]Leakage Tree Data'!J143&lt;&gt;"",'[1]Leakage Tree Data'!J143,"")</f>
      </c>
      <c s="72">
        <f>IF('[1]Leakage Tree Data'!K143&lt;&gt;"",'[1]Leakage Tree Data'!K143,"")</f>
      </c>
      <c s="72">
        <f>IF('[1]Leakage Tree Data'!L143&lt;&gt;"",'[1]Leakage Tree Data'!L143,"")</f>
      </c>
      <c s="72">
        <f>IF('[1]Leakage Tree Data'!M143&lt;&gt;"",'[1]Leakage Tree Data'!M143,"")</f>
      </c>
      <c s="72">
        <f>IF('[1]Leakage Tree Data'!N143&lt;&gt;"",'[1]Leakage Tree Data'!N143,"")</f>
      </c>
      <c s="72">
        <f>IF('[1]Leakage Tree Data'!O143&lt;&gt;"",'[1]Leakage Tree Data'!O143,"")</f>
      </c>
      <c s="72">
        <f>IF('[1]Leakage Tree Data'!P143&lt;&gt;"",'[1]Leakage Tree Data'!P143,"")</f>
      </c>
      <c s="72">
        <f>IF('[1]Leakage Tree Data'!Q143&lt;&gt;"",'[1]Leakage Tree Data'!Q143,"")</f>
      </c>
      <c s="72">
        <f>IF('[1]Leakage Tree Data'!R143&lt;&gt;"",'[1]Leakage Tree Data'!R143,"")</f>
        <v>1017625.85098267</v>
      </c>
      <c s="72">
        <f>IF('[1]Leakage Tree Data'!S143&lt;&gt;"",'[1]Leakage Tree Data'!S143,"")</f>
        <v>-69831.3343505859</v>
      </c>
      <c s="72">
        <f>IF('[1]Leakage Tree Data'!T143&lt;&gt;"",'[1]Leakage Tree Data'!T143,"")</f>
        <v>-0.0691053401808304</v>
      </c>
      <c s="72">
        <f>IF('[1]Leakage Tree Data'!U143&lt;&gt;"",'[1]Leakage Tree Data'!U143,"")</f>
        <v>1087457.18533325</v>
      </c>
      <c s="72">
        <f>IF('[1]Leakage Tree Data'!V143&lt;&gt;"",'[1]Leakage Tree Data'!V143,"")</f>
        <v>0.0691053401808404</v>
      </c>
      <c s="72">
        <f>IF('[1]Leakage Tree Data'!W143&lt;&gt;"",'[1]Leakage Tree Data'!W143,"")</f>
        <v>-1855949.2237854</v>
      </c>
      <c s="72">
        <f>IF('[1]Leakage Tree Data'!X143&lt;&gt;"",'[1]Leakage Tree Data'!X143,"")</f>
      </c>
      <c s="72">
        <f>IF('[1]Leakage Tree Data'!Y143&lt;&gt;"",'[1]Leakage Tree Data'!Y143,"")</f>
      </c>
      <c s="72">
        <f>IF('[1]Leakage Tree Data'!Z143&lt;&gt;"",'[1]Leakage Tree Data'!Z143,"")</f>
      </c>
      <c s="72">
        <f>IF('[1]Leakage Tree Data'!AA143&lt;&gt;"",'[1]Leakage Tree Data'!AA143,"")</f>
      </c>
      <c s="72">
        <f>IF('[1]Leakage Tree Data'!AB143&lt;&gt;"",'[1]Leakage Tree Data'!AB143,"")</f>
      </c>
      <c s="72">
        <f>IF('[1]Leakage Tree Data'!AC143&lt;&gt;"",'[1]Leakage Tree Data'!AC143,"")</f>
      </c>
      <c s="72">
        <f>IF('[1]Leakage Tree Data'!AD143&lt;&gt;"",'[1]Leakage Tree Data'!AD143,"")</f>
      </c>
      <c s="72">
        <f>IF('[1]Leakage Tree Data'!AE143&lt;&gt;"",'[1]Leakage Tree Data'!AE143,"")</f>
      </c>
      <c s="73">
        <f t="shared" si="38"/>
      </c>
      <c s="73">
        <f t="shared" si="39"/>
      </c>
      <c s="73">
        <f t="shared" si="40"/>
      </c>
      <c s="73">
        <f t="shared" si="41"/>
      </c>
      <c s="74">
        <f t="shared" si="32"/>
      </c>
      <c s="74">
        <f t="shared" si="33"/>
      </c>
      <c s="69" t="str">
        <f t="shared" si="34"/>
        <v>Total US - Vitaminshop.com</v>
      </c>
      <c s="69" t="str">
        <f t="shared" si="35"/>
        <v>Total US - Internet</v>
      </c>
      <c s="77"/>
    </row>
    <row r="245" spans="1:141" s="92" customFormat="1" ht="15">
      <c r="A2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245,$AL$8:$AL$15,1,FALSE))=TRUE,IF(AND(CV245=CW245,CV245&lt;&gt;"",DI$111&lt;&gt;"",DK245&lt;&gt;""),IF(CW$101="Y",DK245-IF(ISERROR(VLOOKUP(CV245,$CA$113:$DK$300,37,FALSE))=TRUE,0,IF(VLOOKUP(CV245,$CA$113:$DK$300,37,FALSE)="",0,VLOOKUP(CV245,$CA$113:$DK$300,37,FALSE))),DK245-IF(AND(CW$102="Y",CV245=$CW$111),DI$111,0)),""),"")</f>
      </c>
      <c s="76">
        <f>IF(ISERROR(VLOOKUP(CV245,$AL$8:$AL$15,1,FALSE))=TRUE,IF(CB245&lt;&gt;"",IF(CB245&gt;0,IF(Z$4&lt;&gt;"",MIN(4,RANK(CB245,$CB$111:$CB$300)),RANK(CB245,$CB$111:$CB$300)),""),""),"")</f>
      </c>
      <c s="75">
        <f>IF(ISERROR(VLOOKUP(CV245,$AL$8:$AL$15,1,FALSE))=TRUE,IF(AND(ISERROR(FIND("NeighMkt",$CX$102))=FALSE,LEFT($CW$111,10)="ALL OUTLET",$CA245&lt;&gt;"",DK245&lt;&gt;""),"",IF(AND($CV245&lt;&gt;$CW245,$CW245=CD$110),$DK245,"")),"")</f>
      </c>
      <c s="76">
        <f>IF(ISERROR(VLOOKUP(CV245,$AL$8:$AL$15,1,FALSE))=TRUE,IF(CD245&lt;&gt;"",IF(CD245&gt;0,RANK(CD245,$CD$111:$CD$300),""),""),"")</f>
      </c>
      <c s="75">
        <f>IF(ISERROR(VLOOKUP(CV245,$AL$8:$AL$15,1,FALSE))=TRUE,IF(AND(ISERROR(FIND("NeighMkt",$CX$102))=FALSE,LEFT($CW$111,10)="ALL OUTLET",$CA245&lt;&gt;"",DK245&lt;&gt;""),"",IF(AND($CV245&lt;&gt;$CW245,$CW245=CF$110),$DK245,"")),"")</f>
      </c>
      <c s="76">
        <f>IF(ISERROR(VLOOKUP(CV245,$AL$8:$AL$15,1,FALSE))=TRUE,IF(CF245&lt;&gt;"",IF(CF245&gt;0,RANK(CF245,$CF$111:$CF$300),""),""),"")</f>
      </c>
      <c s="75">
        <f>IF(ISERROR(VLOOKUP(CV245,$AL$8:$AL$15,1,FALSE))=TRUE,IF(AND(ISERROR(FIND("NeighMkt",$CX$102))=FALSE,LEFT($CW$111,10)="ALL OUTLET",$CA245&lt;&gt;"",DK245&lt;&gt;""),"",IF(AND($CV245&lt;&gt;$CW245,$CW245=CH$110),$DK245,"")),"")</f>
      </c>
      <c s="76">
        <f>IF(ISERROR(VLOOKUP(CV245,$AL$8:$AL$15,1,FALSE))=TRUE,IF(CH245&lt;&gt;"",IF(CH245&gt;0,RANK(CH245,$CH$111:$CH$300),""),""),"")</f>
      </c>
      <c s="75">
        <f>IF(ISERROR(VLOOKUP(CV245,$AL$8:$AL$15,1,FALSE))=TRUE,IF(AND(ISERROR(FIND("NeighMkt",$CX$102))=FALSE,LEFT($CW$111,10)="ALL OUTLET",$CA245&lt;&gt;"",DK245&lt;&gt;""),"",IF($Z$4="",IF(AND($CV245&lt;&gt;$CW245,$CW245=CJ$110),$DK245,""),IF(AND($CV245&lt;&gt;$CW245,$CW245&lt;&gt;CD$110,$CW245&lt;&gt;CF$110,$CW245&lt;&gt;CH$110,$CW245&lt;&gt;$CV$111),$DK245,""))),"")</f>
      </c>
      <c s="76">
        <f>IF(ISERROR(VLOOKUP(CV245,$AL$8:$AL$15,1,FALSE))=TRUE,IF(CJ245&lt;&gt;"",IF(CJ245&gt;0,RANK(CJ245,$CJ$111:$CJ$300),""),""),"")</f>
      </c>
      <c s="75">
        <f>IF(ISERROR(VLOOKUP(CV245,$AL$8:$AL$15,1,FALSE))=TRUE,IF(AND(CV245=CW245,CV245&lt;&gt;"",DJ245&lt;&gt;""),IF(AND(ISERROR(FIND("NeighMkt",$CX$102))=FALSE,LEFT($CW$111,10)="ALL OUTLET"),DJ245-IF(ISERROR(VLOOKUP(CV245,$CA$113:$DK$300,36,FALSE))=TRUE,0,IF(VLOOKUP(CV245,$CA$113:$DK$300,36,FALSE)="",0,VLOOKUP(CV245,$CA$113:$DK$300,36,FALSE))),DJ245),""),"")</f>
      </c>
      <c s="76">
        <f>IF(ISERROR(VLOOKUP(CV245,$AL$8:$AL$15,1,FALSE))=TRUE,IF(CL245&lt;&gt;"",IF(CL245&gt;0,IF($Z$4&lt;&gt;"",MIN(4,RANK(CL245,$CL$111:$CL$300)),RANK(CL245,$CL$111:$CL$300)),""),""),"")</f>
      </c>
      <c s="75">
        <f>IF(ISERROR(VLOOKUP(CV245,$AL$8:$AL$15,1,FALSE))=TRUE,IF(AND(ISERROR(FIND("NeighMkt",$CX$102))=FALSE,LEFT($CW$111,10)="ALL OUTLET",$CA245&lt;&gt;"",DJ245&lt;&gt;""),"",IF(AND($CV245&lt;&gt;$CW245,$CW245=CN$110),$DJ245,"")),"")</f>
      </c>
      <c s="76">
        <f>IF(ISERROR(VLOOKUP(CV245,$AL$8:$AL$15,1,FALSE))=TRUE,IF(CN245&lt;&gt;"",IF(CN245&gt;0,RANK(CN245,$CN$111:$CN$300),""),""),"")</f>
      </c>
      <c s="75">
        <f>IF(ISERROR(VLOOKUP(CV245,$AL$8:$AL$15,1,FALSE))=TRUE,IF(AND(ISERROR(FIND("NeighMkt",$CX$102))=FALSE,LEFT($CW$111,10)="ALL OUTLET",$CA245&lt;&gt;"",DJ245&lt;&gt;""),"",IF(AND($CV245&lt;&gt;$CW245,$CW245=CP$110),$DJ245,"")),"")</f>
      </c>
      <c s="76">
        <f>IF(ISERROR(VLOOKUP(CV245,$AL$8:$AL$15,1,FALSE))=TRUE,IF(CP245&lt;&gt;"",IF(CP245&gt;0,RANK(CP245,$CP$111:$CP$300),""),""),"")</f>
      </c>
      <c s="75">
        <f>IF(ISERROR(VLOOKUP(CV245,$AL$8:$AL$15,1,FALSE))=TRUE,IF(AND(ISERROR(FIND("NeighMkt",$CX$102))=FALSE,LEFT($CW$111,10)="ALL OUTLET",$CA245&lt;&gt;"",DJ245&lt;&gt;""),"",IF(AND($CV245&lt;&gt;$CW245,$CW245=CR$110),$DJ245,"")),"")</f>
      </c>
      <c s="76">
        <f>IF(ISERROR(VLOOKUP(CV245,$AL$8:$AL$15,1,FALSE))=TRUE,IF(CR245&lt;&gt;"",IF(CR245&gt;0,RANK(CR245,$CR$111:$CR$300),""),""),"")</f>
      </c>
      <c s="75">
        <f>IF(ISERROR(VLOOKUP(CV245,$AL$8:$AL$15,1,FALSE))=TRUE,IF(AND(ISERROR(FIND("NeighMkt",$CX$102))=FALSE,LEFT($CW$111,10)="ALL OUTLET",$CA245&lt;&gt;"",DJ245&lt;&gt;""),"",IF($Z$4="",IF(AND($CV245&lt;&gt;$CW245,$CW245=CT$110),$DJ245,""),IF(AND($CV245&lt;&gt;$CW245,$CW245&lt;&gt;CN$110,$CW245&lt;&gt;CP$110,$CW245&lt;&gt;CR$110,$CW245&lt;&gt;$CV$111),$DJ245,""))),"")</f>
      </c>
      <c s="76">
        <f>IF(ISERROR(VLOOKUP(CV245,$AL$8:$AL$15,1,FALSE))=TRUE,IF(CT245&lt;&gt;"",IF(CT245&gt;0,RANK(CT245,$CT$111:$CT$300),""),""),"")</f>
      </c>
      <c s="65" t="str">
        <f t="shared" si="36"/>
        <v>Walgreens.com</v>
      </c>
      <c s="65" t="str">
        <f t="shared" si="37"/>
        <v>Internet</v>
      </c>
      <c s="72" t="str">
        <f>IF('[1]Leakage Tree Data'!A144&lt;&gt;"",'[1]Leakage Tree Data'!A144,"")</f>
        <v>Total US - Walgreens.com</v>
      </c>
      <c s="72" t="str">
        <f>IF('[1]Leakage Tree Data'!B144&lt;&gt;"",'[1]Leakage Tree Data'!B144,"")</f>
        <v>Total US - Internet</v>
      </c>
      <c s="72">
        <f>IF('[1]Leakage Tree Data'!C144&lt;&gt;"",'[1]Leakage Tree Data'!C144,"")</f>
        <v>121171760.292236</v>
      </c>
      <c s="72">
        <f>IF('[1]Leakage Tree Data'!D144&lt;&gt;"",'[1]Leakage Tree Data'!D144,"")</f>
        <v>3271487.08978271</v>
      </c>
      <c s="72">
        <f>IF('[1]Leakage Tree Data'!E144&lt;&gt;"",'[1]Leakage Tree Data'!E144,"")</f>
        <v>2.69987584722108</v>
      </c>
      <c s="72">
        <f>IF('[1]Leakage Tree Data'!F144&lt;&gt;"",'[1]Leakage Tree Data'!F144,"")</f>
        <v>117900273.202454</v>
      </c>
      <c s="72">
        <f>IF('[1]Leakage Tree Data'!G144&lt;&gt;"",'[1]Leakage Tree Data'!G144,"")</f>
        <v>97.3001241527789</v>
      </c>
      <c s="72">
        <f>IF('[1]Leakage Tree Data'!H144&lt;&gt;"",'[1]Leakage Tree Data'!H144,"")</f>
        <v>61518209.9918823</v>
      </c>
      <c s="72" t="str">
        <f>IF('[1]Leakage Tree Data'!I144&lt;&gt;"",'[1]Leakage Tree Data'!I144,"")</f>
        <v>Internet</v>
      </c>
      <c s="72">
        <f>IF('[1]Leakage Tree Data'!J144&lt;&gt;"",'[1]Leakage Tree Data'!J144,"")</f>
      </c>
      <c s="72">
        <f>IF('[1]Leakage Tree Data'!K144&lt;&gt;"",'[1]Leakage Tree Data'!K144,"")</f>
      </c>
      <c s="72">
        <f>IF('[1]Leakage Tree Data'!L144&lt;&gt;"",'[1]Leakage Tree Data'!L144,"")</f>
      </c>
      <c s="72">
        <f>IF('[1]Leakage Tree Data'!M144&lt;&gt;"",'[1]Leakage Tree Data'!M144,"")</f>
      </c>
      <c s="72">
        <f>IF('[1]Leakage Tree Data'!N144&lt;&gt;"",'[1]Leakage Tree Data'!N144,"")</f>
      </c>
      <c s="72">
        <f>IF('[1]Leakage Tree Data'!O144&lt;&gt;"",'[1]Leakage Tree Data'!O144,"")</f>
        <v>6.10309658169106</v>
      </c>
      <c s="72">
        <f>IF('[1]Leakage Tree Data'!P144&lt;&gt;"",'[1]Leakage Tree Data'!P144,"")</f>
        <v>527075.955890605</v>
      </c>
      <c s="72">
        <f>IF('[1]Leakage Tree Data'!Q144&lt;&gt;"",'[1]Leakage Tree Data'!Q144,"")</f>
      </c>
      <c s="72">
        <f>IF('[1]Leakage Tree Data'!R144&lt;&gt;"",'[1]Leakage Tree Data'!R144,"")</f>
        <v>1017625.85098267</v>
      </c>
      <c s="72">
        <f>IF('[1]Leakage Tree Data'!S144&lt;&gt;"",'[1]Leakage Tree Data'!S144,"")</f>
        <v>-255671.661560059</v>
      </c>
      <c s="72">
        <f>IF('[1]Leakage Tree Data'!T144&lt;&gt;"",'[1]Leakage Tree Data'!T144,"")</f>
        <v>-0.235652561971769</v>
      </c>
      <c s="72">
        <f>IF('[1]Leakage Tree Data'!U144&lt;&gt;"",'[1]Leakage Tree Data'!U144,"")</f>
        <v>1273297.51254272</v>
      </c>
      <c s="72">
        <f>IF('[1]Leakage Tree Data'!V144&lt;&gt;"",'[1]Leakage Tree Data'!V144,"")</f>
        <v>0.235652561971776</v>
      </c>
      <c s="72">
        <f>IF('[1]Leakage Tree Data'!W144&lt;&gt;"",'[1]Leakage Tree Data'!W144,"")</f>
        <v>-1855949.2237854</v>
      </c>
      <c s="72">
        <f>IF('[1]Leakage Tree Data'!X144&lt;&gt;"",'[1]Leakage Tree Data'!X144,"")</f>
      </c>
      <c s="72">
        <f>IF('[1]Leakage Tree Data'!Y144&lt;&gt;"",'[1]Leakage Tree Data'!Y144,"")</f>
      </c>
      <c s="72">
        <f>IF('[1]Leakage Tree Data'!Z144&lt;&gt;"",'[1]Leakage Tree Data'!Z144,"")</f>
      </c>
      <c s="72">
        <f>IF('[1]Leakage Tree Data'!AA144&lt;&gt;"",'[1]Leakage Tree Data'!AA144,"")</f>
      </c>
      <c s="72">
        <f>IF('[1]Leakage Tree Data'!AB144&lt;&gt;"",'[1]Leakage Tree Data'!AB144,"")</f>
      </c>
      <c s="72">
        <f>IF('[1]Leakage Tree Data'!AC144&lt;&gt;"",'[1]Leakage Tree Data'!AC144,"")</f>
      </c>
      <c s="72">
        <f>IF('[1]Leakage Tree Data'!AD144&lt;&gt;"",'[1]Leakage Tree Data'!AD144,"")</f>
        <v>0.335536092543816</v>
      </c>
      <c s="72">
        <f>IF('[1]Leakage Tree Data'!AE144&lt;&gt;"",'[1]Leakage Tree Data'!AE144,"")</f>
      </c>
      <c s="73">
        <f t="shared" si="38"/>
      </c>
      <c s="73">
        <f t="shared" si="39"/>
      </c>
      <c s="73">
        <f t="shared" si="40"/>
      </c>
      <c s="73">
        <f t="shared" si="41"/>
      </c>
      <c s="74">
        <f t="shared" si="32"/>
      </c>
      <c s="74">
        <f t="shared" si="33"/>
      </c>
      <c s="69" t="str">
        <f t="shared" si="34"/>
        <v>Total US - Walgreens.com</v>
      </c>
      <c s="69" t="str">
        <f t="shared" si="35"/>
        <v>Total US - Internet</v>
      </c>
      <c s="77"/>
    </row>
    <row r="246" spans="1:141" s="92" customFormat="1" ht="15">
      <c r="A2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246,$AL$8:$AL$15,1,FALSE))=TRUE,IF(AND(CV246=CW246,CV246&lt;&gt;"",DI$111&lt;&gt;"",DK246&lt;&gt;""),IF(CW$101="Y",DK246-IF(ISERROR(VLOOKUP(CV246,$CA$113:$DK$300,37,FALSE))=TRUE,0,IF(VLOOKUP(CV246,$CA$113:$DK$300,37,FALSE)="",0,VLOOKUP(CV246,$CA$113:$DK$300,37,FALSE))),DK246-IF(AND(CW$102="Y",CV246=$CW$111),DI$111,0)),""),"")</f>
      </c>
      <c s="76">
        <f>IF(ISERROR(VLOOKUP(CV246,$AL$8:$AL$15,1,FALSE))=TRUE,IF(CB246&lt;&gt;"",IF(CB246&gt;0,IF(Z$4&lt;&gt;"",MIN(4,RANK(CB246,$CB$111:$CB$300)),RANK(CB246,$CB$111:$CB$300)),""),""),"")</f>
      </c>
      <c s="75">
        <f>IF(ISERROR(VLOOKUP(CV246,$AL$8:$AL$15,1,FALSE))=TRUE,IF(AND(ISERROR(FIND("NeighMkt",$CX$102))=FALSE,LEFT($CW$111,10)="ALL OUTLET",$CA246&lt;&gt;"",DK246&lt;&gt;""),"",IF(AND($CV246&lt;&gt;$CW246,$CW246=CD$110),$DK246,"")),"")</f>
      </c>
      <c s="76">
        <f>IF(ISERROR(VLOOKUP(CV246,$AL$8:$AL$15,1,FALSE))=TRUE,IF(CD246&lt;&gt;"",IF(CD246&gt;0,RANK(CD246,$CD$111:$CD$300),""),""),"")</f>
      </c>
      <c s="75">
        <f>IF(ISERROR(VLOOKUP(CV246,$AL$8:$AL$15,1,FALSE))=TRUE,IF(AND(ISERROR(FIND("NeighMkt",$CX$102))=FALSE,LEFT($CW$111,10)="ALL OUTLET",$CA246&lt;&gt;"",DK246&lt;&gt;""),"",IF(AND($CV246&lt;&gt;$CW246,$CW246=CF$110),$DK246,"")),"")</f>
      </c>
      <c s="76">
        <f>IF(ISERROR(VLOOKUP(CV246,$AL$8:$AL$15,1,FALSE))=TRUE,IF(CF246&lt;&gt;"",IF(CF246&gt;0,RANK(CF246,$CF$111:$CF$300),""),""),"")</f>
      </c>
      <c s="75">
        <f>IF(ISERROR(VLOOKUP(CV246,$AL$8:$AL$15,1,FALSE))=TRUE,IF(AND(ISERROR(FIND("NeighMkt",$CX$102))=FALSE,LEFT($CW$111,10)="ALL OUTLET",$CA246&lt;&gt;"",DK246&lt;&gt;""),"",IF(AND($CV246&lt;&gt;$CW246,$CW246=CH$110),$DK246,"")),"")</f>
      </c>
      <c s="76">
        <f>IF(ISERROR(VLOOKUP(CV246,$AL$8:$AL$15,1,FALSE))=TRUE,IF(CH246&lt;&gt;"",IF(CH246&gt;0,RANK(CH246,$CH$111:$CH$300),""),""),"")</f>
      </c>
      <c s="75">
        <f>IF(ISERROR(VLOOKUP(CV246,$AL$8:$AL$15,1,FALSE))=TRUE,IF(AND(ISERROR(FIND("NeighMkt",$CX$102))=FALSE,LEFT($CW$111,10)="ALL OUTLET",$CA246&lt;&gt;"",DK246&lt;&gt;""),"",IF($Z$4="",IF(AND($CV246&lt;&gt;$CW246,$CW246=CJ$110),$DK246,""),IF(AND($CV246&lt;&gt;$CW246,$CW246&lt;&gt;CD$110,$CW246&lt;&gt;CF$110,$CW246&lt;&gt;CH$110,$CW246&lt;&gt;$CV$111),$DK246,""))),"")</f>
      </c>
      <c s="76">
        <f>IF(ISERROR(VLOOKUP(CV246,$AL$8:$AL$15,1,FALSE))=TRUE,IF(CJ246&lt;&gt;"",IF(CJ246&gt;0,RANK(CJ246,$CJ$111:$CJ$300),""),""),"")</f>
      </c>
      <c s="75">
        <f>IF(ISERROR(VLOOKUP(CV246,$AL$8:$AL$15,1,FALSE))=TRUE,IF(AND(CV246=CW246,CV246&lt;&gt;"",DJ246&lt;&gt;""),IF(AND(ISERROR(FIND("NeighMkt",$CX$102))=FALSE,LEFT($CW$111,10)="ALL OUTLET"),DJ246-IF(ISERROR(VLOOKUP(CV246,$CA$113:$DK$300,36,FALSE))=TRUE,0,IF(VLOOKUP(CV246,$CA$113:$DK$300,36,FALSE)="",0,VLOOKUP(CV246,$CA$113:$DK$300,36,FALSE))),DJ246),""),"")</f>
      </c>
      <c s="76">
        <f>IF(ISERROR(VLOOKUP(CV246,$AL$8:$AL$15,1,FALSE))=TRUE,IF(CL246&lt;&gt;"",IF(CL246&gt;0,IF($Z$4&lt;&gt;"",MIN(4,RANK(CL246,$CL$111:$CL$300)),RANK(CL246,$CL$111:$CL$300)),""),""),"")</f>
      </c>
      <c s="75">
        <f>IF(ISERROR(VLOOKUP(CV246,$AL$8:$AL$15,1,FALSE))=TRUE,IF(AND(ISERROR(FIND("NeighMkt",$CX$102))=FALSE,LEFT($CW$111,10)="ALL OUTLET",$CA246&lt;&gt;"",DJ246&lt;&gt;""),"",IF(AND($CV246&lt;&gt;$CW246,$CW246=CN$110),$DJ246,"")),"")</f>
      </c>
      <c s="76">
        <f>IF(ISERROR(VLOOKUP(CV246,$AL$8:$AL$15,1,FALSE))=TRUE,IF(CN246&lt;&gt;"",IF(CN246&gt;0,RANK(CN246,$CN$111:$CN$300),""),""),"")</f>
      </c>
      <c s="75">
        <f>IF(ISERROR(VLOOKUP(CV246,$AL$8:$AL$15,1,FALSE))=TRUE,IF(AND(ISERROR(FIND("NeighMkt",$CX$102))=FALSE,LEFT($CW$111,10)="ALL OUTLET",$CA246&lt;&gt;"",DJ246&lt;&gt;""),"",IF(AND($CV246&lt;&gt;$CW246,$CW246=CP$110),$DJ246,"")),"")</f>
      </c>
      <c s="76">
        <f>IF(ISERROR(VLOOKUP(CV246,$AL$8:$AL$15,1,FALSE))=TRUE,IF(CP246&lt;&gt;"",IF(CP246&gt;0,RANK(CP246,$CP$111:$CP$300),""),""),"")</f>
      </c>
      <c s="75">
        <f>IF(ISERROR(VLOOKUP(CV246,$AL$8:$AL$15,1,FALSE))=TRUE,IF(AND(ISERROR(FIND("NeighMkt",$CX$102))=FALSE,LEFT($CW$111,10)="ALL OUTLET",$CA246&lt;&gt;"",DJ246&lt;&gt;""),"",IF(AND($CV246&lt;&gt;$CW246,$CW246=CR$110),$DJ246,"")),"")</f>
      </c>
      <c s="76">
        <f>IF(ISERROR(VLOOKUP(CV246,$AL$8:$AL$15,1,FALSE))=TRUE,IF(CR246&lt;&gt;"",IF(CR246&gt;0,RANK(CR246,$CR$111:$CR$300),""),""),"")</f>
      </c>
      <c s="75">
        <f>IF(ISERROR(VLOOKUP(CV246,$AL$8:$AL$15,1,FALSE))=TRUE,IF(AND(ISERROR(FIND("NeighMkt",$CX$102))=FALSE,LEFT($CW$111,10)="ALL OUTLET",$CA246&lt;&gt;"",DJ246&lt;&gt;""),"",IF($Z$4="",IF(AND($CV246&lt;&gt;$CW246,$CW246=CT$110),$DJ246,""),IF(AND($CV246&lt;&gt;$CW246,$CW246&lt;&gt;CN$110,$CW246&lt;&gt;CP$110,$CW246&lt;&gt;CR$110,$CW246&lt;&gt;$CV$111),$DJ246,""))),"")</f>
        <v>3300566.72251892</v>
      </c>
      <c s="76">
        <f>IF(ISERROR(VLOOKUP(CV246,$AL$8:$AL$15,1,FALSE))=TRUE,IF(CT246&lt;&gt;"",IF(CT246&gt;0,RANK(CT246,$CT$111:$CT$300),""),""),"")</f>
        <v>14</v>
      </c>
      <c s="65" t="str">
        <f t="shared" si="36"/>
        <v>Walmart.com</v>
      </c>
      <c s="65" t="str">
        <f t="shared" si="37"/>
        <v>Internet</v>
      </c>
      <c s="72" t="str">
        <f>IF('[1]Leakage Tree Data'!A145&lt;&gt;"",'[1]Leakage Tree Data'!A145,"")</f>
        <v>Total US - Walmart.com</v>
      </c>
      <c s="72" t="str">
        <f>IF('[1]Leakage Tree Data'!B145&lt;&gt;"",'[1]Leakage Tree Data'!B145,"")</f>
        <v>Total US - Internet</v>
      </c>
      <c s="72">
        <f>IF('[1]Leakage Tree Data'!C145&lt;&gt;"",'[1]Leakage Tree Data'!C145,"")</f>
        <v>121171760.292236</v>
      </c>
      <c s="72">
        <f>IF('[1]Leakage Tree Data'!D145&lt;&gt;"",'[1]Leakage Tree Data'!D145,"")</f>
        <v>12606965.0080566</v>
      </c>
      <c s="72">
        <f>IF('[1]Leakage Tree Data'!E145&lt;&gt;"",'[1]Leakage Tree Data'!E145,"")</f>
        <v>10.4042105005752</v>
      </c>
      <c s="72">
        <f>IF('[1]Leakage Tree Data'!F145&lt;&gt;"",'[1]Leakage Tree Data'!F145,"")</f>
        <v>108564795.28418</v>
      </c>
      <c s="72">
        <f>IF('[1]Leakage Tree Data'!G145&lt;&gt;"",'[1]Leakage Tree Data'!G145,"")</f>
        <v>89.5957894994248</v>
      </c>
      <c s="72">
        <f>IF('[1]Leakage Tree Data'!H145&lt;&gt;"",'[1]Leakage Tree Data'!H145,"")</f>
        <v>61518209.9918823</v>
      </c>
      <c s="72" t="str">
        <f>IF('[1]Leakage Tree Data'!I145&lt;&gt;"",'[1]Leakage Tree Data'!I145,"")</f>
        <v>Internet</v>
      </c>
      <c s="72">
        <f>IF('[1]Leakage Tree Data'!J145&lt;&gt;"",'[1]Leakage Tree Data'!J145,"")</f>
        <v>99.4521868943263</v>
      </c>
      <c s="72">
        <f>IF('[1]Leakage Tree Data'!K145&lt;&gt;"",'[1]Leakage Tree Data'!K145,"")</f>
        <v>337004.816711426</v>
      </c>
      <c s="72">
        <f>IF('[1]Leakage Tree Data'!L145&lt;&gt;"",'[1]Leakage Tree Data'!L145,"")</f>
      </c>
      <c s="72">
        <f>IF('[1]Leakage Tree Data'!M145&lt;&gt;"",'[1]Leakage Tree Data'!M145,"")</f>
        <v>3300566.72251892</v>
      </c>
      <c s="72">
        <f>IF('[1]Leakage Tree Data'!N145&lt;&gt;"",'[1]Leakage Tree Data'!N145,"")</f>
      </c>
      <c s="72">
        <f>IF('[1]Leakage Tree Data'!O145&lt;&gt;"",'[1]Leakage Tree Data'!O145,"")</f>
        <v>8.96148905162194</v>
      </c>
      <c s="72">
        <f>IF('[1]Leakage Tree Data'!P145&lt;&gt;"",'[1]Leakage Tree Data'!P145,"")</f>
        <v>2337191.39306184</v>
      </c>
      <c s="72">
        <f>IF('[1]Leakage Tree Data'!Q145&lt;&gt;"",'[1]Leakage Tree Data'!Q145,"")</f>
      </c>
      <c s="72">
        <f>IF('[1]Leakage Tree Data'!R145&lt;&gt;"",'[1]Leakage Tree Data'!R145,"")</f>
        <v>1017625.85098267</v>
      </c>
      <c s="72">
        <f>IF('[1]Leakage Tree Data'!S145&lt;&gt;"",'[1]Leakage Tree Data'!S145,"")</f>
        <v>-1315948.34698486</v>
      </c>
      <c s="72">
        <f>IF('[1]Leakage Tree Data'!T145&lt;&gt;"",'[1]Leakage Tree Data'!T145,"")</f>
        <v>-1.18333363162342</v>
      </c>
      <c s="72">
        <f>IF('[1]Leakage Tree Data'!U145&lt;&gt;"",'[1]Leakage Tree Data'!U145,"")</f>
        <v>2333574.19796753</v>
      </c>
      <c s="72">
        <f>IF('[1]Leakage Tree Data'!V145&lt;&gt;"",'[1]Leakage Tree Data'!V145,"")</f>
        <v>1.18333363162343</v>
      </c>
      <c s="72">
        <f>IF('[1]Leakage Tree Data'!W145&lt;&gt;"",'[1]Leakage Tree Data'!W145,"")</f>
        <v>-1855949.2237854</v>
      </c>
      <c s="72">
        <f>IF('[1]Leakage Tree Data'!X145&lt;&gt;"",'[1]Leakage Tree Data'!X145,"")</f>
      </c>
      <c s="72">
        <f>IF('[1]Leakage Tree Data'!Y145&lt;&gt;"",'[1]Leakage Tree Data'!Y145,"")</f>
        <v>0.286755562971095</v>
      </c>
      <c s="72">
        <f>IF('[1]Leakage Tree Data'!Z145&lt;&gt;"",'[1]Leakage Tree Data'!Z145,"")</f>
        <v>-191896.060119629</v>
      </c>
      <c s="72">
        <f>IF('[1]Leakage Tree Data'!AA145&lt;&gt;"",'[1]Leakage Tree Data'!AA145,"")</f>
      </c>
      <c s="72">
        <f>IF('[1]Leakage Tree Data'!AB145&lt;&gt;"",'[1]Leakage Tree Data'!AB145,"")</f>
        <v>-691108.431259155</v>
      </c>
      <c s="72">
        <f>IF('[1]Leakage Tree Data'!AC145&lt;&gt;"",'[1]Leakage Tree Data'!AC145,"")</f>
      </c>
      <c s="72">
        <f>IF('[1]Leakage Tree Data'!AD145&lt;&gt;"",'[1]Leakage Tree Data'!AD145,"")</f>
        <v>-0.906634730045075</v>
      </c>
      <c s="72">
        <f>IF('[1]Leakage Tree Data'!AE145&lt;&gt;"",'[1]Leakage Tree Data'!AE145,"")</f>
      </c>
      <c s="73">
        <f t="shared" si="38"/>
      </c>
      <c s="73">
        <f t="shared" si="39"/>
      </c>
      <c s="73">
        <f t="shared" si="40"/>
      </c>
      <c s="73">
        <f t="shared" si="41"/>
      </c>
      <c s="74">
        <f t="shared" si="32"/>
      </c>
      <c s="74">
        <f t="shared" si="33"/>
      </c>
      <c s="69" t="str">
        <f t="shared" si="34"/>
        <v>Total US - Walmart.com</v>
      </c>
      <c s="69" t="str">
        <f t="shared" si="35"/>
        <v>Total US - Internet</v>
      </c>
      <c s="77"/>
    </row>
    <row r="247" spans="1:141" s="92" customFormat="1" ht="15">
      <c r="A2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247,$AL$8:$AL$15,1,FALSE))=TRUE,IF(AND(CV247=CW247,CV247&lt;&gt;"",DI$111&lt;&gt;"",DK247&lt;&gt;""),IF(CW$101="Y",DK247-IF(ISERROR(VLOOKUP(CV247,$CA$113:$DK$300,37,FALSE))=TRUE,0,IF(VLOOKUP(CV247,$CA$113:$DK$300,37,FALSE)="",0,VLOOKUP(CV247,$CA$113:$DK$300,37,FALSE))),DK247-IF(AND(CW$102="Y",CV247=$CW$111),DI$111,0)),""),"")</f>
      </c>
      <c s="76">
        <f>IF(ISERROR(VLOOKUP(CV247,$AL$8:$AL$15,1,FALSE))=TRUE,IF(CB247&lt;&gt;"",IF(CB247&gt;0,IF(Z$4&lt;&gt;"",MIN(4,RANK(CB247,$CB$111:$CB$300)),RANK(CB247,$CB$111:$CB$300)),""),""),"")</f>
      </c>
      <c s="75">
        <f>IF(ISERROR(VLOOKUP(CV247,$AL$8:$AL$15,1,FALSE))=TRUE,IF(AND(ISERROR(FIND("NeighMkt",$CX$102))=FALSE,LEFT($CW$111,10)="ALL OUTLET",$CA247&lt;&gt;"",DK247&lt;&gt;""),"",IF(AND($CV247&lt;&gt;$CW247,$CW247=CD$110),$DK247,"")),"")</f>
      </c>
      <c s="76">
        <f>IF(ISERROR(VLOOKUP(CV247,$AL$8:$AL$15,1,FALSE))=TRUE,IF(CD247&lt;&gt;"",IF(CD247&gt;0,RANK(CD247,$CD$111:$CD$300),""),""),"")</f>
      </c>
      <c s="75">
        <f>IF(ISERROR(VLOOKUP(CV247,$AL$8:$AL$15,1,FALSE))=TRUE,IF(AND(ISERROR(FIND("NeighMkt",$CX$102))=FALSE,LEFT($CW$111,10)="ALL OUTLET",$CA247&lt;&gt;"",DK247&lt;&gt;""),"",IF(AND($CV247&lt;&gt;$CW247,$CW247=CF$110),$DK247,"")),"")</f>
      </c>
      <c s="76">
        <f>IF(ISERROR(VLOOKUP(CV247,$AL$8:$AL$15,1,FALSE))=TRUE,IF(CF247&lt;&gt;"",IF(CF247&gt;0,RANK(CF247,$CF$111:$CF$300),""),""),"")</f>
      </c>
      <c s="75">
        <f>IF(ISERROR(VLOOKUP(CV247,$AL$8:$AL$15,1,FALSE))=TRUE,IF(AND(ISERROR(FIND("NeighMkt",$CX$102))=FALSE,LEFT($CW$111,10)="ALL OUTLET",$CA247&lt;&gt;"",DK247&lt;&gt;""),"",IF(AND($CV247&lt;&gt;$CW247,$CW247=CH$110),$DK247,"")),"")</f>
      </c>
      <c s="76">
        <f>IF(ISERROR(VLOOKUP(CV247,$AL$8:$AL$15,1,FALSE))=TRUE,IF(CH247&lt;&gt;"",IF(CH247&gt;0,RANK(CH247,$CH$111:$CH$300),""),""),"")</f>
      </c>
      <c s="75">
        <f>IF(ISERROR(VLOOKUP(CV247,$AL$8:$AL$15,1,FALSE))=TRUE,IF(AND(ISERROR(FIND("NeighMkt",$CX$102))=FALSE,LEFT($CW$111,10)="ALL OUTLET",$CA247&lt;&gt;"",DK247&lt;&gt;""),"",IF($Z$4="",IF(AND($CV247&lt;&gt;$CW247,$CW247=CJ$110),$DK247,""),IF(AND($CV247&lt;&gt;$CW247,$CW247&lt;&gt;CD$110,$CW247&lt;&gt;CF$110,$CW247&lt;&gt;CH$110,$CW247&lt;&gt;$CV$111),$DK247,""))),"")</f>
      </c>
      <c s="76">
        <f>IF(ISERROR(VLOOKUP(CV247,$AL$8:$AL$15,1,FALSE))=TRUE,IF(CJ247&lt;&gt;"",IF(CJ247&gt;0,RANK(CJ247,$CJ$111:$CJ$300),""),""),"")</f>
      </c>
      <c s="75">
        <f>IF(ISERROR(VLOOKUP(CV247,$AL$8:$AL$15,1,FALSE))=TRUE,IF(AND(CV247=CW247,CV247&lt;&gt;"",DJ247&lt;&gt;""),IF(AND(ISERROR(FIND("NeighMkt",$CX$102))=FALSE,LEFT($CW$111,10)="ALL OUTLET"),DJ247-IF(ISERROR(VLOOKUP(CV247,$CA$113:$DK$300,36,FALSE))=TRUE,0,IF(VLOOKUP(CV247,$CA$113:$DK$300,36,FALSE)="",0,VLOOKUP(CV247,$CA$113:$DK$300,36,FALSE))),DJ247),""),"")</f>
      </c>
      <c s="76">
        <f>IF(ISERROR(VLOOKUP(CV247,$AL$8:$AL$15,1,FALSE))=TRUE,IF(CL247&lt;&gt;"",IF(CL247&gt;0,IF($Z$4&lt;&gt;"",MIN(4,RANK(CL247,$CL$111:$CL$300)),RANK(CL247,$CL$111:$CL$300)),""),""),"")</f>
      </c>
      <c s="75">
        <f>IF(ISERROR(VLOOKUP(CV247,$AL$8:$AL$15,1,FALSE))=TRUE,IF(AND(ISERROR(FIND("NeighMkt",$CX$102))=FALSE,LEFT($CW$111,10)="ALL OUTLET",$CA247&lt;&gt;"",DJ247&lt;&gt;""),"",IF(AND($CV247&lt;&gt;$CW247,$CW247=CN$110),$DJ247,"")),"")</f>
      </c>
      <c s="76">
        <f>IF(ISERROR(VLOOKUP(CV247,$AL$8:$AL$15,1,FALSE))=TRUE,IF(CN247&lt;&gt;"",IF(CN247&gt;0,RANK(CN247,$CN$111:$CN$300),""),""),"")</f>
      </c>
      <c s="75">
        <f>IF(ISERROR(VLOOKUP(CV247,$AL$8:$AL$15,1,FALSE))=TRUE,IF(AND(ISERROR(FIND("NeighMkt",$CX$102))=FALSE,LEFT($CW$111,10)="ALL OUTLET",$CA247&lt;&gt;"",DJ247&lt;&gt;""),"",IF(AND($CV247&lt;&gt;$CW247,$CW247=CP$110),$DJ247,"")),"")</f>
      </c>
      <c s="76">
        <f>IF(ISERROR(VLOOKUP(CV247,$AL$8:$AL$15,1,FALSE))=TRUE,IF(CP247&lt;&gt;"",IF(CP247&gt;0,RANK(CP247,$CP$111:$CP$300),""),""),"")</f>
      </c>
      <c s="75">
        <f>IF(ISERROR(VLOOKUP(CV247,$AL$8:$AL$15,1,FALSE))=TRUE,IF(AND(ISERROR(FIND("NeighMkt",$CX$102))=FALSE,LEFT($CW$111,10)="ALL OUTLET",$CA247&lt;&gt;"",DJ247&lt;&gt;""),"",IF(AND($CV247&lt;&gt;$CW247,$CW247=CR$110),$DJ247,"")),"")</f>
      </c>
      <c s="76">
        <f>IF(ISERROR(VLOOKUP(CV247,$AL$8:$AL$15,1,FALSE))=TRUE,IF(CR247&lt;&gt;"",IF(CR247&gt;0,RANK(CR247,$CR$111:$CR$300),""),""),"")</f>
      </c>
      <c s="75">
        <f>IF(ISERROR(VLOOKUP(CV247,$AL$8:$AL$15,1,FALSE))=TRUE,IF(AND(ISERROR(FIND("NeighMkt",$CX$102))=FALSE,LEFT($CW$111,10)="ALL OUTLET",$CA247&lt;&gt;"",DJ247&lt;&gt;""),"",IF($Z$4="",IF(AND($CV247&lt;&gt;$CW247,$CW247=CT$110),$DJ247,""),IF(AND($CV247&lt;&gt;$CW247,$CW247&lt;&gt;CN$110,$CW247&lt;&gt;CP$110,$CW247&lt;&gt;CR$110,$CW247&lt;&gt;$CV$111),$DJ247,""))),"")</f>
      </c>
      <c s="76">
        <f>IF(ISERROR(VLOOKUP(CV247,$AL$8:$AL$15,1,FALSE))=TRUE,IF(CT247&lt;&gt;"",IF(CT247&gt;0,RANK(CT247,$CT$111:$CT$300),""),""),"")</f>
      </c>
      <c s="65" t="str">
        <f t="shared" si="36"/>
        <v>Liquor</v>
      </c>
      <c s="65" t="str">
        <f t="shared" si="37"/>
        <v>Liquor</v>
      </c>
      <c s="72" t="str">
        <f>IF('[1]Leakage Tree Data'!A146&lt;&gt;"",'[1]Leakage Tree Data'!A146,"")</f>
        <v>Total US - Liquor</v>
      </c>
      <c s="72" t="str">
        <f>IF('[1]Leakage Tree Data'!B146&lt;&gt;"",'[1]Leakage Tree Data'!B146,"")</f>
        <v>Total US - Liquor</v>
      </c>
      <c s="72">
        <f>IF('[1]Leakage Tree Data'!C146&lt;&gt;"",'[1]Leakage Tree Data'!C146,"")</f>
        <v>121171760.292236</v>
      </c>
      <c s="72">
        <f>IF('[1]Leakage Tree Data'!D146&lt;&gt;"",'[1]Leakage Tree Data'!D146,"")</f>
        <v>24268648.1451721</v>
      </c>
      <c s="72">
        <f>IF('[1]Leakage Tree Data'!E146&lt;&gt;"",'[1]Leakage Tree Data'!E146,"")</f>
        <v>20.0283036960445</v>
      </c>
      <c s="72">
        <f>IF('[1]Leakage Tree Data'!F146&lt;&gt;"",'[1]Leakage Tree Data'!F146,"")</f>
        <v>96903112.1470642</v>
      </c>
      <c s="72">
        <f>IF('[1]Leakage Tree Data'!G146&lt;&gt;"",'[1]Leakage Tree Data'!G146,"")</f>
        <v>79.9716963039555</v>
      </c>
      <c s="72">
        <f>IF('[1]Leakage Tree Data'!H146&lt;&gt;"",'[1]Leakage Tree Data'!H146,"")</f>
        <v>61518209.9918823</v>
      </c>
      <c s="72" t="str">
        <f>IF('[1]Leakage Tree Data'!I146&lt;&gt;"",'[1]Leakage Tree Data'!I146,"")</f>
        <v>Liquor</v>
      </c>
      <c s="72">
        <f>IF('[1]Leakage Tree Data'!J146&lt;&gt;"",'[1]Leakage Tree Data'!J146,"")</f>
      </c>
      <c s="72">
        <f>IF('[1]Leakage Tree Data'!K146&lt;&gt;"",'[1]Leakage Tree Data'!K146,"")</f>
      </c>
      <c s="72">
        <f>IF('[1]Leakage Tree Data'!L146&lt;&gt;"",'[1]Leakage Tree Data'!L146,"")</f>
      </c>
      <c s="72">
        <f>IF('[1]Leakage Tree Data'!M146&lt;&gt;"",'[1]Leakage Tree Data'!M146,"")</f>
      </c>
      <c s="72">
        <f>IF('[1]Leakage Tree Data'!N146&lt;&gt;"",'[1]Leakage Tree Data'!N146,"")</f>
      </c>
      <c s="72">
        <f>IF('[1]Leakage Tree Data'!O146&lt;&gt;"",'[1]Leakage Tree Data'!O146,"")</f>
        <v>0.385244452976824</v>
      </c>
      <c s="72">
        <f>IF('[1]Leakage Tree Data'!P146&lt;&gt;"",'[1]Leakage Tree Data'!P146,"")</f>
        <v>2035519.2421169</v>
      </c>
      <c s="72">
        <f>IF('[1]Leakage Tree Data'!Q146&lt;&gt;"",'[1]Leakage Tree Data'!Q146,"")</f>
      </c>
      <c s="72">
        <f>IF('[1]Leakage Tree Data'!R146&lt;&gt;"",'[1]Leakage Tree Data'!R146,"")</f>
        <v>1017625.85098267</v>
      </c>
      <c s="72">
        <f>IF('[1]Leakage Tree Data'!S146&lt;&gt;"",'[1]Leakage Tree Data'!S146,"")</f>
        <v>263107.1668396</v>
      </c>
      <c s="72">
        <f>IF('[1]Leakage Tree Data'!T146&lt;&gt;"",'[1]Leakage Tree Data'!T146,"")</f>
        <v>0.0493482568794406</v>
      </c>
      <c s="72">
        <f>IF('[1]Leakage Tree Data'!U146&lt;&gt;"",'[1]Leakage Tree Data'!U146,"")</f>
        <v>754518.684143066</v>
      </c>
      <c s="72">
        <f>IF('[1]Leakage Tree Data'!V146&lt;&gt;"",'[1]Leakage Tree Data'!V146,"")</f>
        <v>-0.0493482568794406</v>
      </c>
      <c s="72">
        <f>IF('[1]Leakage Tree Data'!W146&lt;&gt;"",'[1]Leakage Tree Data'!W146,"")</f>
        <v>-1855949.2237854</v>
      </c>
      <c s="72">
        <f>IF('[1]Leakage Tree Data'!X146&lt;&gt;"",'[1]Leakage Tree Data'!X146,"")</f>
      </c>
      <c s="72">
        <f>IF('[1]Leakage Tree Data'!Y146&lt;&gt;"",'[1]Leakage Tree Data'!Y146,"")</f>
      </c>
      <c s="72">
        <f>IF('[1]Leakage Tree Data'!Z146&lt;&gt;"",'[1]Leakage Tree Data'!Z146,"")</f>
      </c>
      <c s="72">
        <f>IF('[1]Leakage Tree Data'!AA146&lt;&gt;"",'[1]Leakage Tree Data'!AA146,"")</f>
      </c>
      <c s="72">
        <f>IF('[1]Leakage Tree Data'!AB146&lt;&gt;"",'[1]Leakage Tree Data'!AB146,"")</f>
      </c>
      <c s="72">
        <f>IF('[1]Leakage Tree Data'!AC146&lt;&gt;"",'[1]Leakage Tree Data'!AC146,"")</f>
      </c>
      <c s="72">
        <f>IF('[1]Leakage Tree Data'!AD146&lt;&gt;"",'[1]Leakage Tree Data'!AD146,"")</f>
      </c>
      <c s="72">
        <f>IF('[1]Leakage Tree Data'!AE146&lt;&gt;"",'[1]Leakage Tree Data'!AE146,"")</f>
      </c>
      <c s="73">
        <f t="shared" si="38"/>
      </c>
      <c s="73">
        <f t="shared" si="39"/>
      </c>
      <c s="73">
        <f t="shared" si="40"/>
      </c>
      <c s="73">
        <f t="shared" si="41"/>
      </c>
      <c s="74">
        <f t="shared" si="32"/>
      </c>
      <c s="74">
        <f t="shared" si="33"/>
      </c>
      <c s="69" t="str">
        <f t="shared" si="34"/>
        <v>Total US - Liquor</v>
      </c>
      <c s="69" t="str">
        <f t="shared" si="35"/>
        <v>Total US - Liquor</v>
      </c>
      <c s="77"/>
    </row>
    <row r="248" spans="1:141" s="92" customFormat="1" ht="15">
      <c r="A2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248,$AL$8:$AL$15,1,FALSE))=TRUE,IF(AND(CV248=CW248,CV248&lt;&gt;"",DI$111&lt;&gt;"",DK248&lt;&gt;""),IF(CW$101="Y",DK248-IF(ISERROR(VLOOKUP(CV248,$CA$113:$DK$300,37,FALSE))=TRUE,0,IF(VLOOKUP(CV248,$CA$113:$DK$300,37,FALSE)="",0,VLOOKUP(CV248,$CA$113:$DK$300,37,FALSE))),DK248-IF(AND(CW$102="Y",CV248=$CW$111),DI$111,0)),""),"")</f>
      </c>
      <c s="76">
        <f>IF(ISERROR(VLOOKUP(CV248,$AL$8:$AL$15,1,FALSE))=TRUE,IF(CB248&lt;&gt;"",IF(CB248&gt;0,IF(Z$4&lt;&gt;"",MIN(4,RANK(CB248,$CB$111:$CB$300)),RANK(CB248,$CB$111:$CB$300)),""),""),"")</f>
      </c>
      <c s="75">
        <f>IF(ISERROR(VLOOKUP(CV248,$AL$8:$AL$15,1,FALSE))=TRUE,IF(AND(ISERROR(FIND("NeighMkt",$CX$102))=FALSE,LEFT($CW$111,10)="ALL OUTLET",$CA248&lt;&gt;"",DK248&lt;&gt;""),"",IF(AND($CV248&lt;&gt;$CW248,$CW248=CD$110),$DK248,"")),"")</f>
      </c>
      <c s="76">
        <f>IF(ISERROR(VLOOKUP(CV248,$AL$8:$AL$15,1,FALSE))=TRUE,IF(CD248&lt;&gt;"",IF(CD248&gt;0,RANK(CD248,$CD$111:$CD$300),""),""),"")</f>
      </c>
      <c s="75">
        <f>IF(ISERROR(VLOOKUP(CV248,$AL$8:$AL$15,1,FALSE))=TRUE,IF(AND(ISERROR(FIND("NeighMkt",$CX$102))=FALSE,LEFT($CW$111,10)="ALL OUTLET",$CA248&lt;&gt;"",DK248&lt;&gt;""),"",IF(AND($CV248&lt;&gt;$CW248,$CW248=CF$110),$DK248,"")),"")</f>
      </c>
      <c s="76">
        <f>IF(ISERROR(VLOOKUP(CV248,$AL$8:$AL$15,1,FALSE))=TRUE,IF(CF248&lt;&gt;"",IF(CF248&gt;0,RANK(CF248,$CF$111:$CF$300),""),""),"")</f>
      </c>
      <c s="75">
        <f>IF(ISERROR(VLOOKUP(CV248,$AL$8:$AL$15,1,FALSE))=TRUE,IF(AND(ISERROR(FIND("NeighMkt",$CX$102))=FALSE,LEFT($CW$111,10)="ALL OUTLET",$CA248&lt;&gt;"",DK248&lt;&gt;""),"",IF(AND($CV248&lt;&gt;$CW248,$CW248=CH$110),$DK248,"")),"")</f>
      </c>
      <c s="76">
        <f>IF(ISERROR(VLOOKUP(CV248,$AL$8:$AL$15,1,FALSE))=TRUE,IF(CH248&lt;&gt;"",IF(CH248&gt;0,RANK(CH248,$CH$111:$CH$300),""),""),"")</f>
      </c>
      <c s="75">
        <f>IF(ISERROR(VLOOKUP(CV248,$AL$8:$AL$15,1,FALSE))=TRUE,IF(AND(ISERROR(FIND("NeighMkt",$CX$102))=FALSE,LEFT($CW$111,10)="ALL OUTLET",$CA248&lt;&gt;"",DK248&lt;&gt;""),"",IF($Z$4="",IF(AND($CV248&lt;&gt;$CW248,$CW248=CJ$110),$DK248,""),IF(AND($CV248&lt;&gt;$CW248,$CW248&lt;&gt;CD$110,$CW248&lt;&gt;CF$110,$CW248&lt;&gt;CH$110,$CW248&lt;&gt;$CV$111),$DK248,""))),"")</f>
      </c>
      <c s="76">
        <f>IF(ISERROR(VLOOKUP(CV248,$AL$8:$AL$15,1,FALSE))=TRUE,IF(CJ248&lt;&gt;"",IF(CJ248&gt;0,RANK(CJ248,$CJ$111:$CJ$300),""),""),"")</f>
      </c>
      <c s="75">
        <f>IF(ISERROR(VLOOKUP(CV248,$AL$8:$AL$15,1,FALSE))=TRUE,IF(AND(CV248=CW248,CV248&lt;&gt;"",DJ248&lt;&gt;""),IF(AND(ISERROR(FIND("NeighMkt",$CX$102))=FALSE,LEFT($CW$111,10)="ALL OUTLET"),DJ248-IF(ISERROR(VLOOKUP(CV248,$CA$113:$DK$300,36,FALSE))=TRUE,0,IF(VLOOKUP(CV248,$CA$113:$DK$300,36,FALSE)="",0,VLOOKUP(CV248,$CA$113:$DK$300,36,FALSE))),DJ248),""),"")</f>
      </c>
      <c s="76">
        <f>IF(ISERROR(VLOOKUP(CV248,$AL$8:$AL$15,1,FALSE))=TRUE,IF(CL248&lt;&gt;"",IF(CL248&gt;0,IF($Z$4&lt;&gt;"",MIN(4,RANK(CL248,$CL$111:$CL$300)),RANK(CL248,$CL$111:$CL$300)),""),""),"")</f>
      </c>
      <c s="75">
        <f>IF(ISERROR(VLOOKUP(CV248,$AL$8:$AL$15,1,FALSE))=TRUE,IF(AND(ISERROR(FIND("NeighMkt",$CX$102))=FALSE,LEFT($CW$111,10)="ALL OUTLET",$CA248&lt;&gt;"",DJ248&lt;&gt;""),"",IF(AND($CV248&lt;&gt;$CW248,$CW248=CN$110),$DJ248,"")),"")</f>
      </c>
      <c s="76">
        <f>IF(ISERROR(VLOOKUP(CV248,$AL$8:$AL$15,1,FALSE))=TRUE,IF(CN248&lt;&gt;"",IF(CN248&gt;0,RANK(CN248,$CN$111:$CN$300),""),""),"")</f>
      </c>
      <c s="75">
        <f>IF(ISERROR(VLOOKUP(CV248,$AL$8:$AL$15,1,FALSE))=TRUE,IF(AND(ISERROR(FIND("NeighMkt",$CX$102))=FALSE,LEFT($CW$111,10)="ALL OUTLET",$CA248&lt;&gt;"",DJ248&lt;&gt;""),"",IF(AND($CV248&lt;&gt;$CW248,$CW248=CP$110),$DJ248,"")),"")</f>
      </c>
      <c s="76">
        <f>IF(ISERROR(VLOOKUP(CV248,$AL$8:$AL$15,1,FALSE))=TRUE,IF(CP248&lt;&gt;"",IF(CP248&gt;0,RANK(CP248,$CP$111:$CP$300),""),""),"")</f>
      </c>
      <c s="75">
        <f>IF(ISERROR(VLOOKUP(CV248,$AL$8:$AL$15,1,FALSE))=TRUE,IF(AND(ISERROR(FIND("NeighMkt",$CX$102))=FALSE,LEFT($CW$111,10)="ALL OUTLET",$CA248&lt;&gt;"",DJ248&lt;&gt;""),"",IF(AND($CV248&lt;&gt;$CW248,$CW248=CR$110),$DJ248,"")),"")</f>
      </c>
      <c s="76">
        <f>IF(ISERROR(VLOOKUP(CV248,$AL$8:$AL$15,1,FALSE))=TRUE,IF(CR248&lt;&gt;"",IF(CR248&gt;0,RANK(CR248,$CR$111:$CR$300),""),""),"")</f>
      </c>
      <c s="75">
        <f>IF(ISERROR(VLOOKUP(CV248,$AL$8:$AL$15,1,FALSE))=TRUE,IF(AND(ISERROR(FIND("NeighMkt",$CX$102))=FALSE,LEFT($CW$111,10)="ALL OUTLET",$CA248&lt;&gt;"",DJ248&lt;&gt;""),"",IF($Z$4="",IF(AND($CV248&lt;&gt;$CW248,$CW248=CT$110),$DJ248,""),IF(AND($CV248&lt;&gt;$CW248,$CW248&lt;&gt;CN$110,$CW248&lt;&gt;CP$110,$CW248&lt;&gt;CR$110,$CW248&lt;&gt;$CV$111),$DJ248,""))),"")</f>
      </c>
      <c s="76">
        <f>IF(ISERROR(VLOOKUP(CV248,$AL$8:$AL$15,1,FALSE))=TRUE,IF(CT248&lt;&gt;"",IF(CT248&gt;0,RANK(CT248,$CT$111:$CT$300),""),""),"")</f>
      </c>
      <c s="65" t="str">
        <f t="shared" si="36"/>
        <v>ABC Liquor Stores</v>
      </c>
      <c s="65" t="str">
        <f t="shared" si="37"/>
        <v>Liquor</v>
      </c>
      <c s="72" t="str">
        <f>IF('[1]Leakage Tree Data'!A147&lt;&gt;"",'[1]Leakage Tree Data'!A147,"")</f>
        <v>Total US - ABC Liquor Stores</v>
      </c>
      <c s="72" t="str">
        <f>IF('[1]Leakage Tree Data'!B147&lt;&gt;"",'[1]Leakage Tree Data'!B147,"")</f>
        <v>Total US - Liquor</v>
      </c>
      <c s="72">
        <f>IF('[1]Leakage Tree Data'!C147&lt;&gt;"",'[1]Leakage Tree Data'!C147,"")</f>
        <v>121171760.292236</v>
      </c>
      <c s="72">
        <f>IF('[1]Leakage Tree Data'!D147&lt;&gt;"",'[1]Leakage Tree Data'!D147,"")</f>
        <v>3477309.80792236</v>
      </c>
      <c s="72">
        <f>IF('[1]Leakage Tree Data'!E147&lt;&gt;"",'[1]Leakage Tree Data'!E147,"")</f>
        <v>2.86973614936017</v>
      </c>
      <c s="72">
        <f>IF('[1]Leakage Tree Data'!F147&lt;&gt;"",'[1]Leakage Tree Data'!F147,"")</f>
        <v>117694450.484314</v>
      </c>
      <c s="72">
        <f>IF('[1]Leakage Tree Data'!G147&lt;&gt;"",'[1]Leakage Tree Data'!G147,"")</f>
        <v>97.1302638506398</v>
      </c>
      <c s="72">
        <f>IF('[1]Leakage Tree Data'!H147&lt;&gt;"",'[1]Leakage Tree Data'!H147,"")</f>
        <v>61518209.9918823</v>
      </c>
      <c s="72" t="str">
        <f>IF('[1]Leakage Tree Data'!I147&lt;&gt;"",'[1]Leakage Tree Data'!I147,"")</f>
        <v>Liquor</v>
      </c>
      <c s="72">
        <f>IF('[1]Leakage Tree Data'!J147&lt;&gt;"",'[1]Leakage Tree Data'!J147,"")</f>
      </c>
      <c s="72">
        <f>IF('[1]Leakage Tree Data'!K147&lt;&gt;"",'[1]Leakage Tree Data'!K147,"")</f>
      </c>
      <c s="72">
        <f>IF('[1]Leakage Tree Data'!L147&lt;&gt;"",'[1]Leakage Tree Data'!L147,"")</f>
      </c>
      <c s="72">
        <f>IF('[1]Leakage Tree Data'!M147&lt;&gt;"",'[1]Leakage Tree Data'!M147,"")</f>
      </c>
      <c s="72">
        <f>IF('[1]Leakage Tree Data'!N147&lt;&gt;"",'[1]Leakage Tree Data'!N147,"")</f>
      </c>
      <c s="72">
        <f>IF('[1]Leakage Tree Data'!O147&lt;&gt;"",'[1]Leakage Tree Data'!O147,"")</f>
      </c>
      <c s="72">
        <f>IF('[1]Leakage Tree Data'!P147&lt;&gt;"",'[1]Leakage Tree Data'!P147,"")</f>
      </c>
      <c s="72">
        <f>IF('[1]Leakage Tree Data'!Q147&lt;&gt;"",'[1]Leakage Tree Data'!Q147,"")</f>
      </c>
      <c s="72">
        <f>IF('[1]Leakage Tree Data'!R147&lt;&gt;"",'[1]Leakage Tree Data'!R147,"")</f>
        <v>1017625.85098267</v>
      </c>
      <c s="72">
        <f>IF('[1]Leakage Tree Data'!S147&lt;&gt;"",'[1]Leakage Tree Data'!S147,"")</f>
        <v>249326.309753418</v>
      </c>
      <c s="72">
        <f>IF('[1]Leakage Tree Data'!T147&lt;&gt;"",'[1]Leakage Tree Data'!T147,"")</f>
        <v>0.183200631310908</v>
      </c>
      <c s="72">
        <f>IF('[1]Leakage Tree Data'!U147&lt;&gt;"",'[1]Leakage Tree Data'!U147,"")</f>
        <v>768299.541229248</v>
      </c>
      <c s="72">
        <f>IF('[1]Leakage Tree Data'!V147&lt;&gt;"",'[1]Leakage Tree Data'!V147,"")</f>
        <v>-0.18320063131091</v>
      </c>
      <c s="72">
        <f>IF('[1]Leakage Tree Data'!W147&lt;&gt;"",'[1]Leakage Tree Data'!W147,"")</f>
        <v>-1855949.2237854</v>
      </c>
      <c s="72">
        <f>IF('[1]Leakage Tree Data'!X147&lt;&gt;"",'[1]Leakage Tree Data'!X147,"")</f>
      </c>
      <c s="72">
        <f>IF('[1]Leakage Tree Data'!Y147&lt;&gt;"",'[1]Leakage Tree Data'!Y147,"")</f>
      </c>
      <c s="72">
        <f>IF('[1]Leakage Tree Data'!Z147&lt;&gt;"",'[1]Leakage Tree Data'!Z147,"")</f>
      </c>
      <c s="72">
        <f>IF('[1]Leakage Tree Data'!AA147&lt;&gt;"",'[1]Leakage Tree Data'!AA147,"")</f>
      </c>
      <c s="72">
        <f>IF('[1]Leakage Tree Data'!AB147&lt;&gt;"",'[1]Leakage Tree Data'!AB147,"")</f>
      </c>
      <c s="72">
        <f>IF('[1]Leakage Tree Data'!AC147&lt;&gt;"",'[1]Leakage Tree Data'!AC147,"")</f>
      </c>
      <c s="72">
        <f>IF('[1]Leakage Tree Data'!AD147&lt;&gt;"",'[1]Leakage Tree Data'!AD147,"")</f>
      </c>
      <c s="72">
        <f>IF('[1]Leakage Tree Data'!AE147&lt;&gt;"",'[1]Leakage Tree Data'!AE147,"")</f>
      </c>
      <c s="73">
        <f t="shared" si="38"/>
      </c>
      <c s="73">
        <f t="shared" si="39"/>
      </c>
      <c s="73">
        <f t="shared" si="40"/>
      </c>
      <c s="73">
        <f t="shared" si="41"/>
      </c>
      <c s="74">
        <f t="shared" si="32"/>
      </c>
      <c s="74">
        <f t="shared" si="33"/>
      </c>
      <c s="69" t="str">
        <f t="shared" si="34"/>
        <v>Total US - ABC Liquor Stores</v>
      </c>
      <c s="69" t="str">
        <f t="shared" si="35"/>
        <v>Total US - Liquor</v>
      </c>
      <c s="77"/>
    </row>
    <row r="249" spans="1:141" s="92" customFormat="1" ht="15">
      <c r="A2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249,$AL$8:$AL$15,1,FALSE))=TRUE,IF(AND(CV249=CW249,CV249&lt;&gt;"",DI$111&lt;&gt;"",DK249&lt;&gt;""),IF(CW$101="Y",DK249-IF(ISERROR(VLOOKUP(CV249,$CA$113:$DK$300,37,FALSE))=TRUE,0,IF(VLOOKUP(CV249,$CA$113:$DK$300,37,FALSE)="",0,VLOOKUP(CV249,$CA$113:$DK$300,37,FALSE))),DK249-IF(AND(CW$102="Y",CV249=$CW$111),DI$111,0)),""),"")</f>
      </c>
      <c s="76">
        <f>IF(ISERROR(VLOOKUP(CV249,$AL$8:$AL$15,1,FALSE))=TRUE,IF(CB249&lt;&gt;"",IF(CB249&gt;0,IF(Z$4&lt;&gt;"",MIN(4,RANK(CB249,$CB$111:$CB$300)),RANK(CB249,$CB$111:$CB$300)),""),""),"")</f>
      </c>
      <c s="75">
        <f>IF(ISERROR(VLOOKUP(CV249,$AL$8:$AL$15,1,FALSE))=TRUE,IF(AND(ISERROR(FIND("NeighMkt",$CX$102))=FALSE,LEFT($CW$111,10)="ALL OUTLET",$CA249&lt;&gt;"",DK249&lt;&gt;""),"",IF(AND($CV249&lt;&gt;$CW249,$CW249=CD$110),$DK249,"")),"")</f>
      </c>
      <c s="76">
        <f>IF(ISERROR(VLOOKUP(CV249,$AL$8:$AL$15,1,FALSE))=TRUE,IF(CD249&lt;&gt;"",IF(CD249&gt;0,RANK(CD249,$CD$111:$CD$300),""),""),"")</f>
      </c>
      <c s="75">
        <f>IF(ISERROR(VLOOKUP(CV249,$AL$8:$AL$15,1,FALSE))=TRUE,IF(AND(ISERROR(FIND("NeighMkt",$CX$102))=FALSE,LEFT($CW$111,10)="ALL OUTLET",$CA249&lt;&gt;"",DK249&lt;&gt;""),"",IF(AND($CV249&lt;&gt;$CW249,$CW249=CF$110),$DK249,"")),"")</f>
      </c>
      <c s="76">
        <f>IF(ISERROR(VLOOKUP(CV249,$AL$8:$AL$15,1,FALSE))=TRUE,IF(CF249&lt;&gt;"",IF(CF249&gt;0,RANK(CF249,$CF$111:$CF$300),""),""),"")</f>
      </c>
      <c s="75">
        <f>IF(ISERROR(VLOOKUP(CV249,$AL$8:$AL$15,1,FALSE))=TRUE,IF(AND(ISERROR(FIND("NeighMkt",$CX$102))=FALSE,LEFT($CW$111,10)="ALL OUTLET",$CA249&lt;&gt;"",DK249&lt;&gt;""),"",IF(AND($CV249&lt;&gt;$CW249,$CW249=CH$110),$DK249,"")),"")</f>
      </c>
      <c s="76">
        <f>IF(ISERROR(VLOOKUP(CV249,$AL$8:$AL$15,1,FALSE))=TRUE,IF(CH249&lt;&gt;"",IF(CH249&gt;0,RANK(CH249,$CH$111:$CH$300),""),""),"")</f>
      </c>
      <c s="75">
        <f>IF(ISERROR(VLOOKUP(CV249,$AL$8:$AL$15,1,FALSE))=TRUE,IF(AND(ISERROR(FIND("NeighMkt",$CX$102))=FALSE,LEFT($CW$111,10)="ALL OUTLET",$CA249&lt;&gt;"",DK249&lt;&gt;""),"",IF($Z$4="",IF(AND($CV249&lt;&gt;$CW249,$CW249=CJ$110),$DK249,""),IF(AND($CV249&lt;&gt;$CW249,$CW249&lt;&gt;CD$110,$CW249&lt;&gt;CF$110,$CW249&lt;&gt;CH$110,$CW249&lt;&gt;$CV$111),$DK249,""))),"")</f>
      </c>
      <c s="76">
        <f>IF(ISERROR(VLOOKUP(CV249,$AL$8:$AL$15,1,FALSE))=TRUE,IF(CJ249&lt;&gt;"",IF(CJ249&gt;0,RANK(CJ249,$CJ$111:$CJ$300),""),""),"")</f>
      </c>
      <c s="75">
        <f>IF(ISERROR(VLOOKUP(CV249,$AL$8:$AL$15,1,FALSE))=TRUE,IF(AND(CV249=CW249,CV249&lt;&gt;"",DJ249&lt;&gt;""),IF(AND(ISERROR(FIND("NeighMkt",$CX$102))=FALSE,LEFT($CW$111,10)="ALL OUTLET"),DJ249-IF(ISERROR(VLOOKUP(CV249,$CA$113:$DK$300,36,FALSE))=TRUE,0,IF(VLOOKUP(CV249,$CA$113:$DK$300,36,FALSE)="",0,VLOOKUP(CV249,$CA$113:$DK$300,36,FALSE))),DJ249),""),"")</f>
      </c>
      <c s="76">
        <f>IF(ISERROR(VLOOKUP(CV249,$AL$8:$AL$15,1,FALSE))=TRUE,IF(CL249&lt;&gt;"",IF(CL249&gt;0,IF($Z$4&lt;&gt;"",MIN(4,RANK(CL249,$CL$111:$CL$300)),RANK(CL249,$CL$111:$CL$300)),""),""),"")</f>
      </c>
      <c s="75">
        <f>IF(ISERROR(VLOOKUP(CV249,$AL$8:$AL$15,1,FALSE))=TRUE,IF(AND(ISERROR(FIND("NeighMkt",$CX$102))=FALSE,LEFT($CW$111,10)="ALL OUTLET",$CA249&lt;&gt;"",DJ249&lt;&gt;""),"",IF(AND($CV249&lt;&gt;$CW249,$CW249=CN$110),$DJ249,"")),"")</f>
      </c>
      <c s="76">
        <f>IF(ISERROR(VLOOKUP(CV249,$AL$8:$AL$15,1,FALSE))=TRUE,IF(CN249&lt;&gt;"",IF(CN249&gt;0,RANK(CN249,$CN$111:$CN$300),""),""),"")</f>
      </c>
      <c s="75">
        <f>IF(ISERROR(VLOOKUP(CV249,$AL$8:$AL$15,1,FALSE))=TRUE,IF(AND(ISERROR(FIND("NeighMkt",$CX$102))=FALSE,LEFT($CW$111,10)="ALL OUTLET",$CA249&lt;&gt;"",DJ249&lt;&gt;""),"",IF(AND($CV249&lt;&gt;$CW249,$CW249=CP$110),$DJ249,"")),"")</f>
      </c>
      <c s="76">
        <f>IF(ISERROR(VLOOKUP(CV249,$AL$8:$AL$15,1,FALSE))=TRUE,IF(CP249&lt;&gt;"",IF(CP249&gt;0,RANK(CP249,$CP$111:$CP$300),""),""),"")</f>
      </c>
      <c s="75">
        <f>IF(ISERROR(VLOOKUP(CV249,$AL$8:$AL$15,1,FALSE))=TRUE,IF(AND(ISERROR(FIND("NeighMkt",$CX$102))=FALSE,LEFT($CW$111,10)="ALL OUTLET",$CA249&lt;&gt;"",DJ249&lt;&gt;""),"",IF(AND($CV249&lt;&gt;$CW249,$CW249=CR$110),$DJ249,"")),"")</f>
      </c>
      <c s="76">
        <f>IF(ISERROR(VLOOKUP(CV249,$AL$8:$AL$15,1,FALSE))=TRUE,IF(CR249&lt;&gt;"",IF(CR249&gt;0,RANK(CR249,$CR$111:$CR$300),""),""),"")</f>
      </c>
      <c s="75">
        <f>IF(ISERROR(VLOOKUP(CV249,$AL$8:$AL$15,1,FALSE))=TRUE,IF(AND(ISERROR(FIND("NeighMkt",$CX$102))=FALSE,LEFT($CW$111,10)="ALL OUTLET",$CA249&lt;&gt;"",DJ249&lt;&gt;""),"",IF($Z$4="",IF(AND($CV249&lt;&gt;$CW249,$CW249=CT$110),$DJ249,""),IF(AND($CV249&lt;&gt;$CW249,$CW249&lt;&gt;CN$110,$CW249&lt;&gt;CP$110,$CW249&lt;&gt;CR$110,$CW249&lt;&gt;$CV$111),$DJ249,""))),"")</f>
      </c>
      <c s="76">
        <f>IF(ISERROR(VLOOKUP(CV249,$AL$8:$AL$15,1,FALSE))=TRUE,IF(CT249&lt;&gt;"",IF(CT249&gt;0,RANK(CT249,$CT$111:$CT$300),""),""),"")</f>
      </c>
      <c s="65" t="str">
        <f t="shared" si="36"/>
        <v>Beverages &amp; More</v>
      </c>
      <c s="65" t="str">
        <f t="shared" si="37"/>
        <v>Liquor</v>
      </c>
      <c s="72" t="str">
        <f>IF('[1]Leakage Tree Data'!A148&lt;&gt;"",'[1]Leakage Tree Data'!A148,"")</f>
        <v>Total US - Beverages &amp; More</v>
      </c>
      <c s="72" t="str">
        <f>IF('[1]Leakage Tree Data'!B148&lt;&gt;"",'[1]Leakage Tree Data'!B148,"")</f>
        <v>Total US - Liquor</v>
      </c>
      <c s="72">
        <f>IF('[1]Leakage Tree Data'!C148&lt;&gt;"",'[1]Leakage Tree Data'!C148,"")</f>
        <v>121171760.292236</v>
      </c>
      <c s="72">
        <f>IF('[1]Leakage Tree Data'!D148&lt;&gt;"",'[1]Leakage Tree Data'!D148,"")</f>
        <v>1459379.71051025</v>
      </c>
      <c s="72">
        <f>IF('[1]Leakage Tree Data'!E148&lt;&gt;"",'[1]Leakage Tree Data'!E148,"")</f>
        <v>1.20438929581496</v>
      </c>
      <c s="72">
        <f>IF('[1]Leakage Tree Data'!F148&lt;&gt;"",'[1]Leakage Tree Data'!F148,"")</f>
        <v>119712380.581726</v>
      </c>
      <c s="72">
        <f>IF('[1]Leakage Tree Data'!G148&lt;&gt;"",'[1]Leakage Tree Data'!G148,"")</f>
        <v>98.795610704185</v>
      </c>
      <c s="72">
        <f>IF('[1]Leakage Tree Data'!H148&lt;&gt;"",'[1]Leakage Tree Data'!H148,"")</f>
        <v>61518209.9918823</v>
      </c>
      <c s="72" t="str">
        <f>IF('[1]Leakage Tree Data'!I148&lt;&gt;"",'[1]Leakage Tree Data'!I148,"")</f>
        <v>Liquor</v>
      </c>
      <c s="72">
        <f>IF('[1]Leakage Tree Data'!J148&lt;&gt;"",'[1]Leakage Tree Data'!J148,"")</f>
      </c>
      <c s="72">
        <f>IF('[1]Leakage Tree Data'!K148&lt;&gt;"",'[1]Leakage Tree Data'!K148,"")</f>
      </c>
      <c s="72">
        <f>IF('[1]Leakage Tree Data'!L148&lt;&gt;"",'[1]Leakage Tree Data'!L148,"")</f>
      </c>
      <c s="72">
        <f>IF('[1]Leakage Tree Data'!M148&lt;&gt;"",'[1]Leakage Tree Data'!M148,"")</f>
      </c>
      <c s="72">
        <f>IF('[1]Leakage Tree Data'!N148&lt;&gt;"",'[1]Leakage Tree Data'!N148,"")</f>
      </c>
      <c s="72">
        <f>IF('[1]Leakage Tree Data'!O148&lt;&gt;"",'[1]Leakage Tree Data'!O148,"")</f>
      </c>
      <c s="72">
        <f>IF('[1]Leakage Tree Data'!P148&lt;&gt;"",'[1]Leakage Tree Data'!P148,"")</f>
      </c>
      <c s="72">
        <f>IF('[1]Leakage Tree Data'!Q148&lt;&gt;"",'[1]Leakage Tree Data'!Q148,"")</f>
      </c>
      <c s="72">
        <f>IF('[1]Leakage Tree Data'!R148&lt;&gt;"",'[1]Leakage Tree Data'!R148,"")</f>
        <v>1017625.85098267</v>
      </c>
      <c s="72">
        <f>IF('[1]Leakage Tree Data'!S148&lt;&gt;"",'[1]Leakage Tree Data'!S148,"")</f>
        <v>-46000.1362304688</v>
      </c>
      <c s="72">
        <f>IF('[1]Leakage Tree Data'!T148&lt;&gt;"",'[1]Leakage Tree Data'!T148,"")</f>
        <v>-0.048484651254038</v>
      </c>
      <c s="72">
        <f>IF('[1]Leakage Tree Data'!U148&lt;&gt;"",'[1]Leakage Tree Data'!U148,"")</f>
        <v>1063625.98721313</v>
      </c>
      <c s="72">
        <f>IF('[1]Leakage Tree Data'!V148&lt;&gt;"",'[1]Leakage Tree Data'!V148,"")</f>
        <v>0.0484846512540287</v>
      </c>
      <c s="72">
        <f>IF('[1]Leakage Tree Data'!W148&lt;&gt;"",'[1]Leakage Tree Data'!W148,"")</f>
        <v>-1855949.2237854</v>
      </c>
      <c s="72">
        <f>IF('[1]Leakage Tree Data'!X148&lt;&gt;"",'[1]Leakage Tree Data'!X148,"")</f>
      </c>
      <c s="72">
        <f>IF('[1]Leakage Tree Data'!Y148&lt;&gt;"",'[1]Leakage Tree Data'!Y148,"")</f>
      </c>
      <c s="72">
        <f>IF('[1]Leakage Tree Data'!Z148&lt;&gt;"",'[1]Leakage Tree Data'!Z148,"")</f>
      </c>
      <c s="72">
        <f>IF('[1]Leakage Tree Data'!AA148&lt;&gt;"",'[1]Leakage Tree Data'!AA148,"")</f>
      </c>
      <c s="72">
        <f>IF('[1]Leakage Tree Data'!AB148&lt;&gt;"",'[1]Leakage Tree Data'!AB148,"")</f>
      </c>
      <c s="72">
        <f>IF('[1]Leakage Tree Data'!AC148&lt;&gt;"",'[1]Leakage Tree Data'!AC148,"")</f>
      </c>
      <c s="72">
        <f>IF('[1]Leakage Tree Data'!AD148&lt;&gt;"",'[1]Leakage Tree Data'!AD148,"")</f>
      </c>
      <c s="72">
        <f>IF('[1]Leakage Tree Data'!AE148&lt;&gt;"",'[1]Leakage Tree Data'!AE148,"")</f>
      </c>
      <c s="73">
        <f t="shared" si="38"/>
      </c>
      <c s="73">
        <f t="shared" si="39"/>
      </c>
      <c s="73">
        <f t="shared" si="40"/>
      </c>
      <c s="73">
        <f t="shared" si="41"/>
      </c>
      <c s="74">
        <f t="shared" si="32"/>
      </c>
      <c s="74">
        <f t="shared" si="33"/>
      </c>
      <c s="69" t="str">
        <f t="shared" si="34"/>
        <v>Total US - Beverages &amp; More</v>
      </c>
      <c s="69" t="str">
        <f t="shared" si="35"/>
        <v>Total US - Liquor</v>
      </c>
      <c s="77"/>
    </row>
    <row r="250" spans="1:141" s="92" customFormat="1" ht="15">
      <c r="A2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250,$AL$8:$AL$15,1,FALSE))=TRUE,IF(AND(CV250=CW250,CV250&lt;&gt;"",DI$111&lt;&gt;"",DK250&lt;&gt;""),IF(CW$101="Y",DK250-IF(ISERROR(VLOOKUP(CV250,$CA$113:$DK$300,37,FALSE))=TRUE,0,IF(VLOOKUP(CV250,$CA$113:$DK$300,37,FALSE)="",0,VLOOKUP(CV250,$CA$113:$DK$300,37,FALSE))),DK250-IF(AND(CW$102="Y",CV250=$CW$111),DI$111,0)),""),"")</f>
      </c>
      <c s="76">
        <f>IF(ISERROR(VLOOKUP(CV250,$AL$8:$AL$15,1,FALSE))=TRUE,IF(CB250&lt;&gt;"",IF(CB250&gt;0,IF(Z$4&lt;&gt;"",MIN(4,RANK(CB250,$CB$111:$CB$300)),RANK(CB250,$CB$111:$CB$300)),""),""),"")</f>
      </c>
      <c s="75">
        <f>IF(ISERROR(VLOOKUP(CV250,$AL$8:$AL$15,1,FALSE))=TRUE,IF(AND(ISERROR(FIND("NeighMkt",$CX$102))=FALSE,LEFT($CW$111,10)="ALL OUTLET",$CA250&lt;&gt;"",DK250&lt;&gt;""),"",IF(AND($CV250&lt;&gt;$CW250,$CW250=CD$110),$DK250,"")),"")</f>
      </c>
      <c s="76">
        <f>IF(ISERROR(VLOOKUP(CV250,$AL$8:$AL$15,1,FALSE))=TRUE,IF(CD250&lt;&gt;"",IF(CD250&gt;0,RANK(CD250,$CD$111:$CD$300),""),""),"")</f>
      </c>
      <c s="75">
        <f>IF(ISERROR(VLOOKUP(CV250,$AL$8:$AL$15,1,FALSE))=TRUE,IF(AND(ISERROR(FIND("NeighMkt",$CX$102))=FALSE,LEFT($CW$111,10)="ALL OUTLET",$CA250&lt;&gt;"",DK250&lt;&gt;""),"",IF(AND($CV250&lt;&gt;$CW250,$CW250=CF$110),$DK250,"")),"")</f>
      </c>
      <c s="76">
        <f>IF(ISERROR(VLOOKUP(CV250,$AL$8:$AL$15,1,FALSE))=TRUE,IF(CF250&lt;&gt;"",IF(CF250&gt;0,RANK(CF250,$CF$111:$CF$300),""),""),"")</f>
      </c>
      <c s="75">
        <f>IF(ISERROR(VLOOKUP(CV250,$AL$8:$AL$15,1,FALSE))=TRUE,IF(AND(ISERROR(FIND("NeighMkt",$CX$102))=FALSE,LEFT($CW$111,10)="ALL OUTLET",$CA250&lt;&gt;"",DK250&lt;&gt;""),"",IF(AND($CV250&lt;&gt;$CW250,$CW250=CH$110),$DK250,"")),"")</f>
      </c>
      <c s="76">
        <f>IF(ISERROR(VLOOKUP(CV250,$AL$8:$AL$15,1,FALSE))=TRUE,IF(CH250&lt;&gt;"",IF(CH250&gt;0,RANK(CH250,$CH$111:$CH$300),""),""),"")</f>
      </c>
      <c s="75">
        <f>IF(ISERROR(VLOOKUP(CV250,$AL$8:$AL$15,1,FALSE))=TRUE,IF(AND(ISERROR(FIND("NeighMkt",$CX$102))=FALSE,LEFT($CW$111,10)="ALL OUTLET",$CA250&lt;&gt;"",DK250&lt;&gt;""),"",IF($Z$4="",IF(AND($CV250&lt;&gt;$CW250,$CW250=CJ$110),$DK250,""),IF(AND($CV250&lt;&gt;$CW250,$CW250&lt;&gt;CD$110,$CW250&lt;&gt;CF$110,$CW250&lt;&gt;CH$110,$CW250&lt;&gt;$CV$111),$DK250,""))),"")</f>
      </c>
      <c s="76">
        <f>IF(ISERROR(VLOOKUP(CV250,$AL$8:$AL$15,1,FALSE))=TRUE,IF(CJ250&lt;&gt;"",IF(CJ250&gt;0,RANK(CJ250,$CJ$111:$CJ$300),""),""),"")</f>
      </c>
      <c s="75">
        <f>IF(ISERROR(VLOOKUP(CV250,$AL$8:$AL$15,1,FALSE))=TRUE,IF(AND(CV250=CW250,CV250&lt;&gt;"",DJ250&lt;&gt;""),IF(AND(ISERROR(FIND("NeighMkt",$CX$102))=FALSE,LEFT($CW$111,10)="ALL OUTLET"),DJ250-IF(ISERROR(VLOOKUP(CV250,$CA$113:$DK$300,36,FALSE))=TRUE,0,IF(VLOOKUP(CV250,$CA$113:$DK$300,36,FALSE)="",0,VLOOKUP(CV250,$CA$113:$DK$300,36,FALSE))),DJ250),""),"")</f>
      </c>
      <c s="76">
        <f>IF(ISERROR(VLOOKUP(CV250,$AL$8:$AL$15,1,FALSE))=TRUE,IF(CL250&lt;&gt;"",IF(CL250&gt;0,IF($Z$4&lt;&gt;"",MIN(4,RANK(CL250,$CL$111:$CL$300)),RANK(CL250,$CL$111:$CL$300)),""),""),"")</f>
      </c>
      <c s="75">
        <f>IF(ISERROR(VLOOKUP(CV250,$AL$8:$AL$15,1,FALSE))=TRUE,IF(AND(ISERROR(FIND("NeighMkt",$CX$102))=FALSE,LEFT($CW$111,10)="ALL OUTLET",$CA250&lt;&gt;"",DJ250&lt;&gt;""),"",IF(AND($CV250&lt;&gt;$CW250,$CW250=CN$110),$DJ250,"")),"")</f>
      </c>
      <c s="76">
        <f>IF(ISERROR(VLOOKUP(CV250,$AL$8:$AL$15,1,FALSE))=TRUE,IF(CN250&lt;&gt;"",IF(CN250&gt;0,RANK(CN250,$CN$111:$CN$300),""),""),"")</f>
      </c>
      <c s="75">
        <f>IF(ISERROR(VLOOKUP(CV250,$AL$8:$AL$15,1,FALSE))=TRUE,IF(AND(ISERROR(FIND("NeighMkt",$CX$102))=FALSE,LEFT($CW$111,10)="ALL OUTLET",$CA250&lt;&gt;"",DJ250&lt;&gt;""),"",IF(AND($CV250&lt;&gt;$CW250,$CW250=CP$110),$DJ250,"")),"")</f>
      </c>
      <c s="76">
        <f>IF(ISERROR(VLOOKUP(CV250,$AL$8:$AL$15,1,FALSE))=TRUE,IF(CP250&lt;&gt;"",IF(CP250&gt;0,RANK(CP250,$CP$111:$CP$300),""),""),"")</f>
      </c>
      <c s="75">
        <f>IF(ISERROR(VLOOKUP(CV250,$AL$8:$AL$15,1,FALSE))=TRUE,IF(AND(ISERROR(FIND("NeighMkt",$CX$102))=FALSE,LEFT($CW$111,10)="ALL OUTLET",$CA250&lt;&gt;"",DJ250&lt;&gt;""),"",IF(AND($CV250&lt;&gt;$CW250,$CW250=CR$110),$DJ250,"")),"")</f>
      </c>
      <c s="76">
        <f>IF(ISERROR(VLOOKUP(CV250,$AL$8:$AL$15,1,FALSE))=TRUE,IF(CR250&lt;&gt;"",IF(CR250&gt;0,RANK(CR250,$CR$111:$CR$300),""),""),"")</f>
      </c>
      <c s="75">
        <f>IF(ISERROR(VLOOKUP(CV250,$AL$8:$AL$15,1,FALSE))=TRUE,IF(AND(ISERROR(FIND("NeighMkt",$CX$102))=FALSE,LEFT($CW$111,10)="ALL OUTLET",$CA250&lt;&gt;"",DJ250&lt;&gt;""),"",IF($Z$4="",IF(AND($CV250&lt;&gt;$CW250,$CW250=CT$110),$DJ250,""),IF(AND($CV250&lt;&gt;$CW250,$CW250&lt;&gt;CN$110,$CW250&lt;&gt;CP$110,$CW250&lt;&gt;CR$110,$CW250&lt;&gt;$CV$111),$DJ250,""))),"")</f>
      </c>
      <c s="76">
        <f>IF(ISERROR(VLOOKUP(CV250,$AL$8:$AL$15,1,FALSE))=TRUE,IF(CT250&lt;&gt;"",IF(CT250&gt;0,RANK(CT250,$CT$111:$CT$300),""),""),"")</f>
      </c>
      <c s="65" t="str">
        <f t="shared" si="36"/>
        <v>Total Wine &amp; More</v>
      </c>
      <c s="65" t="str">
        <f t="shared" si="37"/>
        <v>Liquor</v>
      </c>
      <c s="72" t="str">
        <f>IF('[1]Leakage Tree Data'!A149&lt;&gt;"",'[1]Leakage Tree Data'!A149,"")</f>
        <v>Total US - Total Wine &amp; More</v>
      </c>
      <c s="72" t="str">
        <f>IF('[1]Leakage Tree Data'!B149&lt;&gt;"",'[1]Leakage Tree Data'!B149,"")</f>
        <v>Total US - Liquor</v>
      </c>
      <c s="72">
        <f>IF('[1]Leakage Tree Data'!C149&lt;&gt;"",'[1]Leakage Tree Data'!C149,"")</f>
        <v>121171760.292236</v>
      </c>
      <c s="72">
        <f>IF('[1]Leakage Tree Data'!D149&lt;&gt;"",'[1]Leakage Tree Data'!D149,"")</f>
        <v>2861088.72412109</v>
      </c>
      <c s="72">
        <f>IF('[1]Leakage Tree Data'!E149&lt;&gt;"",'[1]Leakage Tree Data'!E149,"")</f>
        <v>2.36118441889501</v>
      </c>
      <c s="72">
        <f>IF('[1]Leakage Tree Data'!F149&lt;&gt;"",'[1]Leakage Tree Data'!F149,"")</f>
        <v>118310671.568115</v>
      </c>
      <c s="72">
        <f>IF('[1]Leakage Tree Data'!G149&lt;&gt;"",'[1]Leakage Tree Data'!G149,"")</f>
        <v>97.638815581105</v>
      </c>
      <c s="72">
        <f>IF('[1]Leakage Tree Data'!H149&lt;&gt;"",'[1]Leakage Tree Data'!H149,"")</f>
        <v>61518209.9918823</v>
      </c>
      <c s="72" t="str">
        <f>IF('[1]Leakage Tree Data'!I149&lt;&gt;"",'[1]Leakage Tree Data'!I149,"")</f>
        <v>Liquor</v>
      </c>
      <c s="72">
        <f>IF('[1]Leakage Tree Data'!J149&lt;&gt;"",'[1]Leakage Tree Data'!J149,"")</f>
      </c>
      <c s="72">
        <f>IF('[1]Leakage Tree Data'!K149&lt;&gt;"",'[1]Leakage Tree Data'!K149,"")</f>
      </c>
      <c s="72">
        <f>IF('[1]Leakage Tree Data'!L149&lt;&gt;"",'[1]Leakage Tree Data'!L149,"")</f>
      </c>
      <c s="72">
        <f>IF('[1]Leakage Tree Data'!M149&lt;&gt;"",'[1]Leakage Tree Data'!M149,"")</f>
      </c>
      <c s="72">
        <f>IF('[1]Leakage Tree Data'!N149&lt;&gt;"",'[1]Leakage Tree Data'!N149,"")</f>
      </c>
      <c s="72">
        <f>IF('[1]Leakage Tree Data'!O149&lt;&gt;"",'[1]Leakage Tree Data'!O149,"")</f>
      </c>
      <c s="72">
        <f>IF('[1]Leakage Tree Data'!P149&lt;&gt;"",'[1]Leakage Tree Data'!P149,"")</f>
      </c>
      <c s="72">
        <f>IF('[1]Leakage Tree Data'!Q149&lt;&gt;"",'[1]Leakage Tree Data'!Q149,"")</f>
      </c>
      <c s="72">
        <f>IF('[1]Leakage Tree Data'!R149&lt;&gt;"",'[1]Leakage Tree Data'!R149,"")</f>
        <v>1017625.85098267</v>
      </c>
      <c s="72">
        <f>IF('[1]Leakage Tree Data'!S149&lt;&gt;"",'[1]Leakage Tree Data'!S149,"")</f>
        <v>414627.824859619</v>
      </c>
      <c s="72">
        <f>IF('[1]Leakage Tree Data'!T149&lt;&gt;"",'[1]Leakage Tree Data'!T149,"")</f>
        <v>0.325082281720853</v>
      </c>
      <c s="72">
        <f>IF('[1]Leakage Tree Data'!U149&lt;&gt;"",'[1]Leakage Tree Data'!U149,"")</f>
        <v>602998.026123047</v>
      </c>
      <c s="72">
        <f>IF('[1]Leakage Tree Data'!V149&lt;&gt;"",'[1]Leakage Tree Data'!V149,"")</f>
        <v>-0.325082281720853</v>
      </c>
      <c s="72">
        <f>IF('[1]Leakage Tree Data'!W149&lt;&gt;"",'[1]Leakage Tree Data'!W149,"")</f>
        <v>-1855949.2237854</v>
      </c>
      <c s="72">
        <f>IF('[1]Leakage Tree Data'!X149&lt;&gt;"",'[1]Leakage Tree Data'!X149,"")</f>
      </c>
      <c s="72">
        <f>IF('[1]Leakage Tree Data'!Y149&lt;&gt;"",'[1]Leakage Tree Data'!Y149,"")</f>
      </c>
      <c s="72">
        <f>IF('[1]Leakage Tree Data'!Z149&lt;&gt;"",'[1]Leakage Tree Data'!Z149,"")</f>
      </c>
      <c s="72">
        <f>IF('[1]Leakage Tree Data'!AA149&lt;&gt;"",'[1]Leakage Tree Data'!AA149,"")</f>
      </c>
      <c s="72">
        <f>IF('[1]Leakage Tree Data'!AB149&lt;&gt;"",'[1]Leakage Tree Data'!AB149,"")</f>
      </c>
      <c s="72">
        <f>IF('[1]Leakage Tree Data'!AC149&lt;&gt;"",'[1]Leakage Tree Data'!AC149,"")</f>
      </c>
      <c s="72">
        <f>IF('[1]Leakage Tree Data'!AD149&lt;&gt;"",'[1]Leakage Tree Data'!AD149,"")</f>
      </c>
      <c s="72">
        <f>IF('[1]Leakage Tree Data'!AE149&lt;&gt;"",'[1]Leakage Tree Data'!AE149,"")</f>
      </c>
      <c s="73">
        <f t="shared" si="38"/>
      </c>
      <c s="73">
        <f t="shared" si="39"/>
      </c>
      <c s="73">
        <f t="shared" si="40"/>
      </c>
      <c s="73">
        <f t="shared" si="41"/>
      </c>
      <c s="74">
        <f t="shared" si="32"/>
      </c>
      <c s="74">
        <f t="shared" si="33"/>
      </c>
      <c s="69" t="str">
        <f t="shared" si="34"/>
        <v>Total US - Total Wine &amp; More</v>
      </c>
      <c s="69" t="str">
        <f t="shared" si="35"/>
        <v>Total US - Liquor</v>
      </c>
      <c s="77"/>
    </row>
    <row r="251" spans="1:141" s="92" customFormat="1" ht="15">
      <c r="A2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251,$AL$8:$AL$15,1,FALSE))=TRUE,IF(AND(CV251=CW251,CV251&lt;&gt;"",DI$111&lt;&gt;"",DK251&lt;&gt;""),IF(CW$101="Y",DK251-IF(ISERROR(VLOOKUP(CV251,$CA$113:$DK$300,37,FALSE))=TRUE,0,IF(VLOOKUP(CV251,$CA$113:$DK$300,37,FALSE)="",0,VLOOKUP(CV251,$CA$113:$DK$300,37,FALSE))),DK251-IF(AND(CW$102="Y",CV251=$CW$111),DI$111,0)),""),"")</f>
        <v>6760643.21617889</v>
      </c>
      <c s="76">
        <f>IF(ISERROR(VLOOKUP(CV251,$AL$8:$AL$15,1,FALSE))=TRUE,IF(CB251&lt;&gt;"",IF(CB251&gt;0,IF(Z$4&lt;&gt;"",MIN(4,RANK(CB251,$CB$111:$CB$300)),RANK(CB251,$CB$111:$CB$300)),""),""),"")</f>
        <v>4</v>
      </c>
      <c s="75">
        <f>IF(ISERROR(VLOOKUP(CV251,$AL$8:$AL$15,1,FALSE))=TRUE,IF(AND(ISERROR(FIND("NeighMkt",$CX$102))=FALSE,LEFT($CW$111,10)="ALL OUTLET",$CA251&lt;&gt;"",DK251&lt;&gt;""),"",IF(AND($CV251&lt;&gt;$CW251,$CW251=CD$110),$DK251,"")),"")</f>
      </c>
      <c s="76">
        <f>IF(ISERROR(VLOOKUP(CV251,$AL$8:$AL$15,1,FALSE))=TRUE,IF(CD251&lt;&gt;"",IF(CD251&gt;0,RANK(CD251,$CD$111:$CD$300),""),""),"")</f>
      </c>
      <c s="75">
        <f>IF(ISERROR(VLOOKUP(CV251,$AL$8:$AL$15,1,FALSE))=TRUE,IF(AND(ISERROR(FIND("NeighMkt",$CX$102))=FALSE,LEFT($CW$111,10)="ALL OUTLET",$CA251&lt;&gt;"",DK251&lt;&gt;""),"",IF(AND($CV251&lt;&gt;$CW251,$CW251=CF$110),$DK251,"")),"")</f>
      </c>
      <c s="76">
        <f>IF(ISERROR(VLOOKUP(CV251,$AL$8:$AL$15,1,FALSE))=TRUE,IF(CF251&lt;&gt;"",IF(CF251&gt;0,RANK(CF251,$CF$111:$CF$300),""),""),"")</f>
      </c>
      <c s="75">
        <f>IF(ISERROR(VLOOKUP(CV251,$AL$8:$AL$15,1,FALSE))=TRUE,IF(AND(ISERROR(FIND("NeighMkt",$CX$102))=FALSE,LEFT($CW$111,10)="ALL OUTLET",$CA251&lt;&gt;"",DK251&lt;&gt;""),"",IF(AND($CV251&lt;&gt;$CW251,$CW251=CH$110),$DK251,"")),"")</f>
      </c>
      <c s="76">
        <f>IF(ISERROR(VLOOKUP(CV251,$AL$8:$AL$15,1,FALSE))=TRUE,IF(CH251&lt;&gt;"",IF(CH251&gt;0,RANK(CH251,$CH$111:$CH$300),""),""),"")</f>
      </c>
      <c s="75">
        <f>IF(ISERROR(VLOOKUP(CV251,$AL$8:$AL$15,1,FALSE))=TRUE,IF(AND(ISERROR(FIND("NeighMkt",$CX$102))=FALSE,LEFT($CW$111,10)="ALL OUTLET",$CA251&lt;&gt;"",DK251&lt;&gt;""),"",IF($Z$4="",IF(AND($CV251&lt;&gt;$CW251,$CW251=CJ$110),$DK251,""),IF(AND($CV251&lt;&gt;$CW251,$CW251&lt;&gt;CD$110,$CW251&lt;&gt;CF$110,$CW251&lt;&gt;CH$110,$CW251&lt;&gt;$CV$111),$DK251,""))),"")</f>
      </c>
      <c s="76">
        <f>IF(ISERROR(VLOOKUP(CV251,$AL$8:$AL$15,1,FALSE))=TRUE,IF(CJ251&lt;&gt;"",IF(CJ251&gt;0,RANK(CJ251,$CJ$111:$CJ$300),""),""),"")</f>
      </c>
      <c s="75">
        <f>IF(ISERROR(VLOOKUP(CV251,$AL$8:$AL$15,1,FALSE))=TRUE,IF(AND(CV251=CW251,CV251&lt;&gt;"",DJ251&lt;&gt;""),IF(AND(ISERROR(FIND("NeighMkt",$CX$102))=FALSE,LEFT($CW$111,10)="ALL OUTLET"),DJ251-IF(ISERROR(VLOOKUP(CV251,$CA$113:$DK$300,36,FALSE))=TRUE,0,IF(VLOOKUP(CV251,$CA$113:$DK$300,36,FALSE)="",0,VLOOKUP(CV251,$CA$113:$DK$300,36,FALSE))),DJ251),""),"")</f>
        <v>20995680.6019049</v>
      </c>
      <c s="76">
        <f>IF(ISERROR(VLOOKUP(CV251,$AL$8:$AL$15,1,FALSE))=TRUE,IF(CL251&lt;&gt;"",IF(CL251&gt;0,IF($Z$4&lt;&gt;"",MIN(4,RANK(CL251,$CL$111:$CL$300)),RANK(CL251,$CL$111:$CL$300)),""),""),"")</f>
        <v>4</v>
      </c>
      <c s="75">
        <f>IF(ISERROR(VLOOKUP(CV251,$AL$8:$AL$15,1,FALSE))=TRUE,IF(AND(ISERROR(FIND("NeighMkt",$CX$102))=FALSE,LEFT($CW$111,10)="ALL OUTLET",$CA251&lt;&gt;"",DJ251&lt;&gt;""),"",IF(AND($CV251&lt;&gt;$CW251,$CW251=CN$110),$DJ251,"")),"")</f>
      </c>
      <c s="76">
        <f>IF(ISERROR(VLOOKUP(CV251,$AL$8:$AL$15,1,FALSE))=TRUE,IF(CN251&lt;&gt;"",IF(CN251&gt;0,RANK(CN251,$CN$111:$CN$300),""),""),"")</f>
      </c>
      <c s="75">
        <f>IF(ISERROR(VLOOKUP(CV251,$AL$8:$AL$15,1,FALSE))=TRUE,IF(AND(ISERROR(FIND("NeighMkt",$CX$102))=FALSE,LEFT($CW$111,10)="ALL OUTLET",$CA251&lt;&gt;"",DJ251&lt;&gt;""),"",IF(AND($CV251&lt;&gt;$CW251,$CW251=CP$110),$DJ251,"")),"")</f>
      </c>
      <c s="76">
        <f>IF(ISERROR(VLOOKUP(CV251,$AL$8:$AL$15,1,FALSE))=TRUE,IF(CP251&lt;&gt;"",IF(CP251&gt;0,RANK(CP251,$CP$111:$CP$300),""),""),"")</f>
      </c>
      <c s="75">
        <f>IF(ISERROR(VLOOKUP(CV251,$AL$8:$AL$15,1,FALSE))=TRUE,IF(AND(ISERROR(FIND("NeighMkt",$CX$102))=FALSE,LEFT($CW$111,10)="ALL OUTLET",$CA251&lt;&gt;"",DJ251&lt;&gt;""),"",IF(AND($CV251&lt;&gt;$CW251,$CW251=CR$110),$DJ251,"")),"")</f>
      </c>
      <c s="76">
        <f>IF(ISERROR(VLOOKUP(CV251,$AL$8:$AL$15,1,FALSE))=TRUE,IF(CR251&lt;&gt;"",IF(CR251&gt;0,RANK(CR251,$CR$111:$CR$300),""),""),"")</f>
      </c>
      <c s="75">
        <f>IF(ISERROR(VLOOKUP(CV251,$AL$8:$AL$15,1,FALSE))=TRUE,IF(AND(ISERROR(FIND("NeighMkt",$CX$102))=FALSE,LEFT($CW$111,10)="ALL OUTLET",$CA251&lt;&gt;"",DJ251&lt;&gt;""),"",IF($Z$4="",IF(AND($CV251&lt;&gt;$CW251,$CW251=CT$110),$DJ251,""),IF(AND($CV251&lt;&gt;$CW251,$CW251&lt;&gt;CN$110,$CW251&lt;&gt;CP$110,$CW251&lt;&gt;CR$110,$CW251&lt;&gt;$CV$111),$DJ251,""))),"")</f>
      </c>
      <c s="76">
        <f>IF(ISERROR(VLOOKUP(CV251,$AL$8:$AL$15,1,FALSE))=TRUE,IF(CT251&lt;&gt;"",IF(CT251&gt;0,RANK(CT251,$CT$111:$CT$300),""),""),"")</f>
      </c>
      <c s="65" t="str">
        <f t="shared" si="36"/>
        <v>MassX and SupercenterX</v>
      </c>
      <c s="65" t="str">
        <f t="shared" si="37"/>
        <v>MassX and SupercenterX</v>
      </c>
      <c s="72" t="str">
        <f>IF('[1]Leakage Tree Data'!A150&lt;&gt;"",'[1]Leakage Tree Data'!A150,"")</f>
        <v>Total US - MassX and SupercenterX</v>
      </c>
      <c s="72" t="str">
        <f>IF('[1]Leakage Tree Data'!B150&lt;&gt;"",'[1]Leakage Tree Data'!B150,"")</f>
        <v>Total US - MassX and SupercenterX</v>
      </c>
      <c s="72">
        <f>IF('[1]Leakage Tree Data'!C150&lt;&gt;"",'[1]Leakage Tree Data'!C150,"")</f>
        <v>121171760.292236</v>
      </c>
      <c s="72">
        <f>IF('[1]Leakage Tree Data'!D150&lt;&gt;"",'[1]Leakage Tree Data'!D150,"")</f>
        <v>82031130.5726318</v>
      </c>
      <c s="72">
        <f>IF('[1]Leakage Tree Data'!E150&lt;&gt;"",'[1]Leakage Tree Data'!E150,"")</f>
        <v>67.6982247140695</v>
      </c>
      <c s="72">
        <f>IF('[1]Leakage Tree Data'!F150&lt;&gt;"",'[1]Leakage Tree Data'!F150,"")</f>
        <v>39140629.7196045</v>
      </c>
      <c s="72">
        <f>IF('[1]Leakage Tree Data'!G150&lt;&gt;"",'[1]Leakage Tree Data'!G150,"")</f>
        <v>32.3017752859305</v>
      </c>
      <c s="72">
        <f>IF('[1]Leakage Tree Data'!H150&lt;&gt;"",'[1]Leakage Tree Data'!H150,"")</f>
        <v>61518209.9918823</v>
      </c>
      <c s="72" t="str">
        <f>IF('[1]Leakage Tree Data'!I150&lt;&gt;"",'[1]Leakage Tree Data'!I150,"")</f>
        <v>MassX and SupercenterX</v>
      </c>
      <c s="72">
        <f>IF('[1]Leakage Tree Data'!J150&lt;&gt;"",'[1]Leakage Tree Data'!J150,"")</f>
        <v>70.3889745729236</v>
      </c>
      <c s="72">
        <f>IF('[1]Leakage Tree Data'!K150&lt;&gt;"",'[1]Leakage Tree Data'!K150,"")</f>
        <v>18216172.8029785</v>
      </c>
      <c s="72">
        <f>IF('[1]Leakage Tree Data'!L150&lt;&gt;"",'[1]Leakage Tree Data'!L150,"")</f>
        <v>251482010.831684</v>
      </c>
      <c s="72">
        <f>IF('[1]Leakage Tree Data'!M150&lt;&gt;"",'[1]Leakage Tree Data'!M150,"")</f>
        <v>20995680.6019049</v>
      </c>
      <c s="72">
        <f>IF('[1]Leakage Tree Data'!N150&lt;&gt;"",'[1]Leakage Tree Data'!N150,"")</f>
        <v>6760643.21617889</v>
      </c>
      <c s="72">
        <f>IF('[1]Leakage Tree Data'!O150&lt;&gt;"",'[1]Leakage Tree Data'!O150,"")</f>
        <v>26.5261620018567</v>
      </c>
      <c s="72">
        <f>IF('[1]Leakage Tree Data'!P150&lt;&gt;"",'[1]Leakage Tree Data'!P150,"")</f>
        <v>19448588.370524</v>
      </c>
      <c s="72">
        <f>IF('[1]Leakage Tree Data'!Q150&lt;&gt;"",'[1]Leakage Tree Data'!Q150,"")</f>
      </c>
      <c s="72">
        <f>IF('[1]Leakage Tree Data'!R150&lt;&gt;"",'[1]Leakage Tree Data'!R150,"")</f>
        <v>1017625.85098267</v>
      </c>
      <c s="72">
        <f>IF('[1]Leakage Tree Data'!S150&lt;&gt;"",'[1]Leakage Tree Data'!S150,"")</f>
        <v>-2490285.07290649</v>
      </c>
      <c s="72">
        <f>IF('[1]Leakage Tree Data'!T150&lt;&gt;"",'[1]Leakage Tree Data'!T150,"")</f>
        <v>-2.64593450990036</v>
      </c>
      <c s="72">
        <f>IF('[1]Leakage Tree Data'!U150&lt;&gt;"",'[1]Leakage Tree Data'!U150,"")</f>
        <v>3507910.92388916</v>
      </c>
      <c s="72">
        <f>IF('[1]Leakage Tree Data'!V150&lt;&gt;"",'[1]Leakage Tree Data'!V150,"")</f>
        <v>2.64593450990036</v>
      </c>
      <c s="72">
        <f>IF('[1]Leakage Tree Data'!W150&lt;&gt;"",'[1]Leakage Tree Data'!W150,"")</f>
        <v>-1855949.2237854</v>
      </c>
      <c s="72">
        <f>IF('[1]Leakage Tree Data'!X150&lt;&gt;"",'[1]Leakage Tree Data'!X150,"")</f>
      </c>
      <c s="72">
        <f>IF('[1]Leakage Tree Data'!Y150&lt;&gt;"",'[1]Leakage Tree Data'!Y150,"")</f>
        <v>1.99787421308633</v>
      </c>
      <c s="72">
        <f>IF('[1]Leakage Tree Data'!Z150&lt;&gt;"",'[1]Leakage Tree Data'!Z150,"")</f>
        <v>-1815701.58129883</v>
      </c>
      <c s="72">
        <f>IF('[1]Leakage Tree Data'!AA150&lt;&gt;"",'[1]Leakage Tree Data'!AA150,"")</f>
        <v>-46138208.7159758</v>
      </c>
      <c s="72">
        <f>IF('[1]Leakage Tree Data'!AB150&lt;&gt;"",'[1]Leakage Tree Data'!AB150,"")</f>
        <v>-1155991.51148796</v>
      </c>
      <c s="72">
        <f>IF('[1]Leakage Tree Data'!AC150&lt;&gt;"",'[1]Leakage Tree Data'!AC150,"")</f>
        <v>-1035146.96485233</v>
      </c>
      <c s="72">
        <f>IF('[1]Leakage Tree Data'!AD150&lt;&gt;"",'[1]Leakage Tree Data'!AD150,"")</f>
        <v>-1.80503059275171</v>
      </c>
      <c s="72">
        <f>IF('[1]Leakage Tree Data'!AE150&lt;&gt;"",'[1]Leakage Tree Data'!AE150,"")</f>
      </c>
      <c s="73">
        <f t="shared" si="38"/>
        <v>20995680.6019049</v>
      </c>
      <c s="73">
        <f t="shared" si="39"/>
        <v>6760643.21617889</v>
      </c>
      <c s="73">
        <f t="shared" si="40"/>
        <v>-1155991.51148796</v>
      </c>
      <c s="73">
        <f t="shared" si="41"/>
        <v>-1035146.96485233</v>
      </c>
      <c s="74">
        <f t="shared" si="32"/>
        <v>-7.39651370771852E-05</v>
      </c>
      <c s="74">
        <f t="shared" si="33"/>
        <v>0.000329839974398323</v>
      </c>
      <c s="69" t="str">
        <f t="shared" si="34"/>
        <v>Total US - MassX and SupercenterX</v>
      </c>
      <c s="69" t="str">
        <f t="shared" si="35"/>
        <v>Total US - MassX and SupercenterX</v>
      </c>
      <c s="77"/>
    </row>
    <row r="252" spans="1:141" s="92" customFormat="1" ht="15">
      <c r="A2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252,$AL$8:$AL$15,1,FALSE))=TRUE,IF(AND(CV252=CW252,CV252&lt;&gt;"",DI$111&lt;&gt;"",DK252&lt;&gt;""),IF(CW$101="Y",DK252-IF(ISERROR(VLOOKUP(CV252,$CA$113:$DK$300,37,FALSE))=TRUE,0,IF(VLOOKUP(CV252,$CA$113:$DK$300,37,FALSE)="",0,VLOOKUP(CV252,$CA$113:$DK$300,37,FALSE))),DK252-IF(AND(CW$102="Y",CV252=$CW$111),DI$111,0)),""),"")</f>
      </c>
      <c s="76">
        <f>IF(ISERROR(VLOOKUP(CV252,$AL$8:$AL$15,1,FALSE))=TRUE,IF(CB252&lt;&gt;"",IF(CB252&gt;0,IF(Z$4&lt;&gt;"",MIN(4,RANK(CB252,$CB$111:$CB$300)),RANK(CB252,$CB$111:$CB$300)),""),""),"")</f>
      </c>
      <c s="75">
        <f>IF(ISERROR(VLOOKUP(CV252,$AL$8:$AL$15,1,FALSE))=TRUE,IF(AND(ISERROR(FIND("NeighMkt",$CX$102))=FALSE,LEFT($CW$111,10)="ALL OUTLET",$CA252&lt;&gt;"",DK252&lt;&gt;""),"",IF(AND($CV252&lt;&gt;$CW252,$CW252=CD$110),$DK252,"")),"")</f>
      </c>
      <c s="76">
        <f>IF(ISERROR(VLOOKUP(CV252,$AL$8:$AL$15,1,FALSE))=TRUE,IF(CD252&lt;&gt;"",IF(CD252&gt;0,RANK(CD252,$CD$111:$CD$300),""),""),"")</f>
      </c>
      <c s="75">
        <f>IF(ISERROR(VLOOKUP(CV252,$AL$8:$AL$15,1,FALSE))=TRUE,IF(AND(ISERROR(FIND("NeighMkt",$CX$102))=FALSE,LEFT($CW$111,10)="ALL OUTLET",$CA252&lt;&gt;"",DK252&lt;&gt;""),"",IF(AND($CV252&lt;&gt;$CW252,$CW252=CF$110),$DK252,"")),"")</f>
      </c>
      <c s="76">
        <f>IF(ISERROR(VLOOKUP(CV252,$AL$8:$AL$15,1,FALSE))=TRUE,IF(CF252&lt;&gt;"",IF(CF252&gt;0,RANK(CF252,$CF$111:$CF$300),""),""),"")</f>
      </c>
      <c s="75">
        <f>IF(ISERROR(VLOOKUP(CV252,$AL$8:$AL$15,1,FALSE))=TRUE,IF(AND(ISERROR(FIND("NeighMkt",$CX$102))=FALSE,LEFT($CW$111,10)="ALL OUTLET",$CA252&lt;&gt;"",DK252&lt;&gt;""),"",IF(AND($CV252&lt;&gt;$CW252,$CW252=CH$110),$DK252,"")),"")</f>
      </c>
      <c s="76">
        <f>IF(ISERROR(VLOOKUP(CV252,$AL$8:$AL$15,1,FALSE))=TRUE,IF(CH252&lt;&gt;"",IF(CH252&gt;0,RANK(CH252,$CH$111:$CH$300),""),""),"")</f>
      </c>
      <c s="75">
        <f>IF(ISERROR(VLOOKUP(CV252,$AL$8:$AL$15,1,FALSE))=TRUE,IF(AND(ISERROR(FIND("NeighMkt",$CX$102))=FALSE,LEFT($CW$111,10)="ALL OUTLET",$CA252&lt;&gt;"",DK252&lt;&gt;""),"",IF($Z$4="",IF(AND($CV252&lt;&gt;$CW252,$CW252=CJ$110),$DK252,""),IF(AND($CV252&lt;&gt;$CW252,$CW252&lt;&gt;CD$110,$CW252&lt;&gt;CF$110,$CW252&lt;&gt;CH$110,$CW252&lt;&gt;$CV$111),$DK252,""))),"")</f>
      </c>
      <c s="76">
        <f>IF(ISERROR(VLOOKUP(CV252,$AL$8:$AL$15,1,FALSE))=TRUE,IF(CJ252&lt;&gt;"",IF(CJ252&gt;0,RANK(CJ252,$CJ$111:$CJ$300),""),""),"")</f>
      </c>
      <c s="75">
        <f>IF(ISERROR(VLOOKUP(CV252,$AL$8:$AL$15,1,FALSE))=TRUE,IF(AND(CV252=CW252,CV252&lt;&gt;"",DJ252&lt;&gt;""),IF(AND(ISERROR(FIND("NeighMkt",$CX$102))=FALSE,LEFT($CW$111,10)="ALL OUTLET"),DJ252-IF(ISERROR(VLOOKUP(CV252,$CA$113:$DK$300,36,FALSE))=TRUE,0,IF(VLOOKUP(CV252,$CA$113:$DK$300,36,FALSE)="",0,VLOOKUP(CV252,$CA$113:$DK$300,36,FALSE))),DJ252),""),"")</f>
      </c>
      <c s="76">
        <f>IF(ISERROR(VLOOKUP(CV252,$AL$8:$AL$15,1,FALSE))=TRUE,IF(CL252&lt;&gt;"",IF(CL252&gt;0,IF($Z$4&lt;&gt;"",MIN(4,RANK(CL252,$CL$111:$CL$300)),RANK(CL252,$CL$111:$CL$300)),""),""),"")</f>
      </c>
      <c s="75">
        <f>IF(ISERROR(VLOOKUP(CV252,$AL$8:$AL$15,1,FALSE))=TRUE,IF(AND(ISERROR(FIND("NeighMkt",$CX$102))=FALSE,LEFT($CW$111,10)="ALL OUTLET",$CA252&lt;&gt;"",DJ252&lt;&gt;""),"",IF(AND($CV252&lt;&gt;$CW252,$CW252=CN$110),$DJ252,"")),"")</f>
      </c>
      <c s="76">
        <f>IF(ISERROR(VLOOKUP(CV252,$AL$8:$AL$15,1,FALSE))=TRUE,IF(CN252&lt;&gt;"",IF(CN252&gt;0,RANK(CN252,$CN$111:$CN$300),""),""),"")</f>
      </c>
      <c s="75">
        <f>IF(ISERROR(VLOOKUP(CV252,$AL$8:$AL$15,1,FALSE))=TRUE,IF(AND(ISERROR(FIND("NeighMkt",$CX$102))=FALSE,LEFT($CW$111,10)="ALL OUTLET",$CA252&lt;&gt;"",DJ252&lt;&gt;""),"",IF(AND($CV252&lt;&gt;$CW252,$CW252=CP$110),$DJ252,"")),"")</f>
      </c>
      <c s="76">
        <f>IF(ISERROR(VLOOKUP(CV252,$AL$8:$AL$15,1,FALSE))=TRUE,IF(CP252&lt;&gt;"",IF(CP252&gt;0,RANK(CP252,$CP$111:$CP$300),""),""),"")</f>
      </c>
      <c s="75">
        <f>IF(ISERROR(VLOOKUP(CV252,$AL$8:$AL$15,1,FALSE))=TRUE,IF(AND(ISERROR(FIND("NeighMkt",$CX$102))=FALSE,LEFT($CW$111,10)="ALL OUTLET",$CA252&lt;&gt;"",DJ252&lt;&gt;""),"",IF(AND($CV252&lt;&gt;$CW252,$CW252=CR$110),$DJ252,"")),"")</f>
      </c>
      <c s="76">
        <f>IF(ISERROR(VLOOKUP(CV252,$AL$8:$AL$15,1,FALSE))=TRUE,IF(CR252&lt;&gt;"",IF(CR252&gt;0,RANK(CR252,$CR$111:$CR$300),""),""),"")</f>
      </c>
      <c s="75">
        <f>IF(ISERROR(VLOOKUP(CV252,$AL$8:$AL$15,1,FALSE))=TRUE,IF(AND(ISERROR(FIND("NeighMkt",$CX$102))=FALSE,LEFT($CW$111,10)="ALL OUTLET",$CA252&lt;&gt;"",DJ252&lt;&gt;""),"",IF($Z$4="",IF(AND($CV252&lt;&gt;$CW252,$CW252=CT$110),$DJ252,""),IF(AND($CV252&lt;&gt;$CW252,$CW252&lt;&gt;CN$110,$CW252&lt;&gt;CP$110,$CW252&lt;&gt;CR$110,$CW252&lt;&gt;$CV$111),$DJ252,""))),"")</f>
      </c>
      <c s="76">
        <f>IF(ISERROR(VLOOKUP(CV252,$AL$8:$AL$15,1,FALSE))=TRUE,IF(CT252&lt;&gt;"",IF(CT252&gt;0,RANK(CT252,$CT$111:$CT$300),""),""),"")</f>
      </c>
      <c s="65" t="str">
        <f t="shared" si="36"/>
        <v>BI Mart</v>
      </c>
      <c s="65" t="str">
        <f t="shared" si="37"/>
        <v>MassX and SupercenterX</v>
      </c>
      <c s="72" t="str">
        <f>IF('[1]Leakage Tree Data'!A151&lt;&gt;"",'[1]Leakage Tree Data'!A151,"")</f>
        <v>Total US - BI Mart</v>
      </c>
      <c s="72" t="str">
        <f>IF('[1]Leakage Tree Data'!B151&lt;&gt;"",'[1]Leakage Tree Data'!B151,"")</f>
        <v>Total US - MassX and SupercenterX</v>
      </c>
      <c s="72">
        <f>IF('[1]Leakage Tree Data'!C151&lt;&gt;"",'[1]Leakage Tree Data'!C151,"")</f>
        <v>121171760.292236</v>
      </c>
      <c s="72">
        <f>IF('[1]Leakage Tree Data'!D151&lt;&gt;"",'[1]Leakage Tree Data'!D151,"")</f>
        <v>1066229.06207275</v>
      </c>
      <c s="72">
        <f>IF('[1]Leakage Tree Data'!E151&lt;&gt;"",'[1]Leakage Tree Data'!E151,"")</f>
        <v>0.879931973837198</v>
      </c>
      <c s="72">
        <f>IF('[1]Leakage Tree Data'!F151&lt;&gt;"",'[1]Leakage Tree Data'!F151,"")</f>
        <v>120105531.230164</v>
      </c>
      <c s="72">
        <f>IF('[1]Leakage Tree Data'!G151&lt;&gt;"",'[1]Leakage Tree Data'!G151,"")</f>
        <v>99.1200680261628</v>
      </c>
      <c s="72">
        <f>IF('[1]Leakage Tree Data'!H151&lt;&gt;"",'[1]Leakage Tree Data'!H151,"")</f>
        <v>61518209.9918823</v>
      </c>
      <c s="72" t="str">
        <f>IF('[1]Leakage Tree Data'!I151&lt;&gt;"",'[1]Leakage Tree Data'!I151,"")</f>
        <v>MassX and SupercenterX</v>
      </c>
      <c s="72">
        <f>IF('[1]Leakage Tree Data'!J151&lt;&gt;"",'[1]Leakage Tree Data'!J151,"")</f>
      </c>
      <c s="72">
        <f>IF('[1]Leakage Tree Data'!K151&lt;&gt;"",'[1]Leakage Tree Data'!K151,"")</f>
      </c>
      <c s="72">
        <f>IF('[1]Leakage Tree Data'!L151&lt;&gt;"",'[1]Leakage Tree Data'!L151,"")</f>
      </c>
      <c s="72">
        <f>IF('[1]Leakage Tree Data'!M151&lt;&gt;"",'[1]Leakage Tree Data'!M151,"")</f>
      </c>
      <c s="72">
        <f>IF('[1]Leakage Tree Data'!N151&lt;&gt;"",'[1]Leakage Tree Data'!N151,"")</f>
      </c>
      <c s="72">
        <f>IF('[1]Leakage Tree Data'!O151&lt;&gt;"",'[1]Leakage Tree Data'!O151,"")</f>
        <v>20.0637398384031</v>
      </c>
      <c s="72">
        <f>IF('[1]Leakage Tree Data'!P151&lt;&gt;"",'[1]Leakage Tree Data'!P151,"")</f>
        <v>140863.300650543</v>
      </c>
      <c s="72">
        <f>IF('[1]Leakage Tree Data'!Q151&lt;&gt;"",'[1]Leakage Tree Data'!Q151,"")</f>
      </c>
      <c s="72">
        <f>IF('[1]Leakage Tree Data'!R151&lt;&gt;"",'[1]Leakage Tree Data'!R151,"")</f>
        <v>1017625.85098267</v>
      </c>
      <c s="72">
        <f>IF('[1]Leakage Tree Data'!S151&lt;&gt;"",'[1]Leakage Tree Data'!S151,"")</f>
        <v>37792.8460693359</v>
      </c>
      <c s="72">
        <f>IF('[1]Leakage Tree Data'!T151&lt;&gt;"",'[1]Leakage Tree Data'!T151,"")</f>
        <v>0.0240011972676697</v>
      </c>
      <c s="72">
        <f>IF('[1]Leakage Tree Data'!U151&lt;&gt;"",'[1]Leakage Tree Data'!U151,"")</f>
        <v>979833.00491333</v>
      </c>
      <c s="72">
        <f>IF('[1]Leakage Tree Data'!V151&lt;&gt;"",'[1]Leakage Tree Data'!V151,"")</f>
        <v>-0.0240011972676797</v>
      </c>
      <c s="72">
        <f>IF('[1]Leakage Tree Data'!W151&lt;&gt;"",'[1]Leakage Tree Data'!W151,"")</f>
        <v>-1855949.2237854</v>
      </c>
      <c s="72">
        <f>IF('[1]Leakage Tree Data'!X151&lt;&gt;"",'[1]Leakage Tree Data'!X151,"")</f>
      </c>
      <c s="72">
        <f>IF('[1]Leakage Tree Data'!Y151&lt;&gt;"",'[1]Leakage Tree Data'!Y151,"")</f>
      </c>
      <c s="72">
        <f>IF('[1]Leakage Tree Data'!Z151&lt;&gt;"",'[1]Leakage Tree Data'!Z151,"")</f>
      </c>
      <c s="72">
        <f>IF('[1]Leakage Tree Data'!AA151&lt;&gt;"",'[1]Leakage Tree Data'!AA151,"")</f>
      </c>
      <c s="72">
        <f>IF('[1]Leakage Tree Data'!AB151&lt;&gt;"",'[1]Leakage Tree Data'!AB151,"")</f>
      </c>
      <c s="72">
        <f>IF('[1]Leakage Tree Data'!AC151&lt;&gt;"",'[1]Leakage Tree Data'!AC151,"")</f>
      </c>
      <c s="72">
        <f>IF('[1]Leakage Tree Data'!AD151&lt;&gt;"",'[1]Leakage Tree Data'!AD151,"")</f>
        <v>2.67048360961346</v>
      </c>
      <c s="72">
        <f>IF('[1]Leakage Tree Data'!AE151&lt;&gt;"",'[1]Leakage Tree Data'!AE151,"")</f>
      </c>
      <c s="73">
        <f t="shared" si="38"/>
      </c>
      <c s="73">
        <f t="shared" si="39"/>
      </c>
      <c s="73">
        <f t="shared" si="40"/>
      </c>
      <c s="73">
        <f t="shared" si="41"/>
      </c>
      <c s="74">
        <f t="shared" si="32"/>
      </c>
      <c s="74">
        <f t="shared" si="33"/>
      </c>
      <c s="69" t="str">
        <f t="shared" si="34"/>
        <v>Total US - BI Mart</v>
      </c>
      <c s="69" t="str">
        <f t="shared" si="35"/>
        <v>Total US - MassX and SupercenterX</v>
      </c>
      <c s="77"/>
    </row>
    <row r="253" spans="1:141" s="92" customFormat="1" ht="15">
      <c r="A2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253,$AL$8:$AL$15,1,FALSE))=TRUE,IF(AND(CV253=CW253,CV253&lt;&gt;"",DI$111&lt;&gt;"",DK253&lt;&gt;""),IF(CW$101="Y",DK253-IF(ISERROR(VLOOKUP(CV253,$CA$113:$DK$300,37,FALSE))=TRUE,0,IF(VLOOKUP(CV253,$CA$113:$DK$300,37,FALSE)="",0,VLOOKUP(CV253,$CA$113:$DK$300,37,FALSE))),DK253-IF(AND(CW$102="Y",CV253=$CW$111),DI$111,0)),""),"")</f>
      </c>
      <c s="76">
        <f>IF(ISERROR(VLOOKUP(CV253,$AL$8:$AL$15,1,FALSE))=TRUE,IF(CB253&lt;&gt;"",IF(CB253&gt;0,IF(Z$4&lt;&gt;"",MIN(4,RANK(CB253,$CB$111:$CB$300)),RANK(CB253,$CB$111:$CB$300)),""),""),"")</f>
      </c>
      <c s="75">
        <f>IF(ISERROR(VLOOKUP(CV253,$AL$8:$AL$15,1,FALSE))=TRUE,IF(AND(ISERROR(FIND("NeighMkt",$CX$102))=FALSE,LEFT($CW$111,10)="ALL OUTLET",$CA253&lt;&gt;"",DK253&lt;&gt;""),"",IF(AND($CV253&lt;&gt;$CW253,$CW253=CD$110),$DK253,"")),"")</f>
      </c>
      <c s="76">
        <f>IF(ISERROR(VLOOKUP(CV253,$AL$8:$AL$15,1,FALSE))=TRUE,IF(CD253&lt;&gt;"",IF(CD253&gt;0,RANK(CD253,$CD$111:$CD$300),""),""),"")</f>
      </c>
      <c s="75">
        <f>IF(ISERROR(VLOOKUP(CV253,$AL$8:$AL$15,1,FALSE))=TRUE,IF(AND(ISERROR(FIND("NeighMkt",$CX$102))=FALSE,LEFT($CW$111,10)="ALL OUTLET",$CA253&lt;&gt;"",DK253&lt;&gt;""),"",IF(AND($CV253&lt;&gt;$CW253,$CW253=CF$110),$DK253,"")),"")</f>
      </c>
      <c s="76">
        <f>IF(ISERROR(VLOOKUP(CV253,$AL$8:$AL$15,1,FALSE))=TRUE,IF(CF253&lt;&gt;"",IF(CF253&gt;0,RANK(CF253,$CF$111:$CF$300),""),""),"")</f>
      </c>
      <c s="75">
        <f>IF(ISERROR(VLOOKUP(CV253,$AL$8:$AL$15,1,FALSE))=TRUE,IF(AND(ISERROR(FIND("NeighMkt",$CX$102))=FALSE,LEFT($CW$111,10)="ALL OUTLET",$CA253&lt;&gt;"",DK253&lt;&gt;""),"",IF(AND($CV253&lt;&gt;$CW253,$CW253=CH$110),$DK253,"")),"")</f>
      </c>
      <c s="76">
        <f>IF(ISERROR(VLOOKUP(CV253,$AL$8:$AL$15,1,FALSE))=TRUE,IF(CH253&lt;&gt;"",IF(CH253&gt;0,RANK(CH253,$CH$111:$CH$300),""),""),"")</f>
      </c>
      <c s="75">
        <f>IF(ISERROR(VLOOKUP(CV253,$AL$8:$AL$15,1,FALSE))=TRUE,IF(AND(ISERROR(FIND("NeighMkt",$CX$102))=FALSE,LEFT($CW$111,10)="ALL OUTLET",$CA253&lt;&gt;"",DK253&lt;&gt;""),"",IF($Z$4="",IF(AND($CV253&lt;&gt;$CW253,$CW253=CJ$110),$DK253,""),IF(AND($CV253&lt;&gt;$CW253,$CW253&lt;&gt;CD$110,$CW253&lt;&gt;CF$110,$CW253&lt;&gt;CH$110,$CW253&lt;&gt;$CV$111),$DK253,""))),"")</f>
        <v>5661746.00291061</v>
      </c>
      <c s="76">
        <f>IF(ISERROR(VLOOKUP(CV253,$AL$8:$AL$15,1,FALSE))=TRUE,IF(CJ253&lt;&gt;"",IF(CJ253&gt;0,RANK(CJ253,$CJ$111:$CJ$300),""),""),"")</f>
        <v>7</v>
      </c>
      <c s="75">
        <f>IF(ISERROR(VLOOKUP(CV253,$AL$8:$AL$15,1,FALSE))=TRUE,IF(AND(CV253=CW253,CV253&lt;&gt;"",DJ253&lt;&gt;""),IF(AND(ISERROR(FIND("NeighMkt",$CX$102))=FALSE,LEFT($CW$111,10)="ALL OUTLET"),DJ253-IF(ISERROR(VLOOKUP(CV253,$CA$113:$DK$300,36,FALSE))=TRUE,0,IF(VLOOKUP(CV253,$CA$113:$DK$300,36,FALSE)="",0,VLOOKUP(CV253,$CA$113:$DK$300,36,FALSE))),DJ253),""),"")</f>
      </c>
      <c s="76">
        <f>IF(ISERROR(VLOOKUP(CV253,$AL$8:$AL$15,1,FALSE))=TRUE,IF(CL253&lt;&gt;"",IF(CL253&gt;0,IF($Z$4&lt;&gt;"",MIN(4,RANK(CL253,$CL$111:$CL$300)),RANK(CL253,$CL$111:$CL$300)),""),""),"")</f>
      </c>
      <c s="75">
        <f>IF(ISERROR(VLOOKUP(CV253,$AL$8:$AL$15,1,FALSE))=TRUE,IF(AND(ISERROR(FIND("NeighMkt",$CX$102))=FALSE,LEFT($CW$111,10)="ALL OUTLET",$CA253&lt;&gt;"",DJ253&lt;&gt;""),"",IF(AND($CV253&lt;&gt;$CW253,$CW253=CN$110),$DJ253,"")),"")</f>
      </c>
      <c s="76">
        <f>IF(ISERROR(VLOOKUP(CV253,$AL$8:$AL$15,1,FALSE))=TRUE,IF(CN253&lt;&gt;"",IF(CN253&gt;0,RANK(CN253,$CN$111:$CN$300),""),""),"")</f>
      </c>
      <c s="75">
        <f>IF(ISERROR(VLOOKUP(CV253,$AL$8:$AL$15,1,FALSE))=TRUE,IF(AND(ISERROR(FIND("NeighMkt",$CX$102))=FALSE,LEFT($CW$111,10)="ALL OUTLET",$CA253&lt;&gt;"",DJ253&lt;&gt;""),"",IF(AND($CV253&lt;&gt;$CW253,$CW253=CP$110),$DJ253,"")),"")</f>
      </c>
      <c s="76">
        <f>IF(ISERROR(VLOOKUP(CV253,$AL$8:$AL$15,1,FALSE))=TRUE,IF(CP253&lt;&gt;"",IF(CP253&gt;0,RANK(CP253,$CP$111:$CP$300),""),""),"")</f>
      </c>
      <c s="75">
        <f>IF(ISERROR(VLOOKUP(CV253,$AL$8:$AL$15,1,FALSE))=TRUE,IF(AND(ISERROR(FIND("NeighMkt",$CX$102))=FALSE,LEFT($CW$111,10)="ALL OUTLET",$CA253&lt;&gt;"",DJ253&lt;&gt;""),"",IF(AND($CV253&lt;&gt;$CW253,$CW253=CR$110),$DJ253,"")),"")</f>
      </c>
      <c s="76">
        <f>IF(ISERROR(VLOOKUP(CV253,$AL$8:$AL$15,1,FALSE))=TRUE,IF(CR253&lt;&gt;"",IF(CR253&gt;0,RANK(CR253,$CR$111:$CR$300),""),""),"")</f>
      </c>
      <c s="75">
        <f>IF(ISERROR(VLOOKUP(CV253,$AL$8:$AL$15,1,FALSE))=TRUE,IF(AND(ISERROR(FIND("NeighMkt",$CX$102))=FALSE,LEFT($CW$111,10)="ALL OUTLET",$CA253&lt;&gt;"",DJ253&lt;&gt;""),"",IF($Z$4="",IF(AND($CV253&lt;&gt;$CW253,$CW253=CT$110),$DJ253,""),IF(AND($CV253&lt;&gt;$CW253,$CW253&lt;&gt;CN$110,$CW253&lt;&gt;CP$110,$CW253&lt;&gt;CR$110,$CW253&lt;&gt;$CV$111),$DJ253,""))),"")</f>
        <v>15717899.767067</v>
      </c>
      <c s="76">
        <f>IF(ISERROR(VLOOKUP(CV253,$AL$8:$AL$15,1,FALSE))=TRUE,IF(CT253&lt;&gt;"",IF(CT253&gt;0,RANK(CT253,$CT$111:$CT$300),""),""),"")</f>
        <v>7</v>
      </c>
      <c s="65" t="str">
        <f t="shared" si="36"/>
        <v>Kmart Corporate</v>
      </c>
      <c s="65" t="str">
        <f t="shared" si="37"/>
        <v>MassX and SupercenterX</v>
      </c>
      <c s="72" t="str">
        <f>IF('[1]Leakage Tree Data'!A152&lt;&gt;"",'[1]Leakage Tree Data'!A152,"")</f>
        <v>Total US - Kmart Corporate</v>
      </c>
      <c s="72" t="str">
        <f>IF('[1]Leakage Tree Data'!B152&lt;&gt;"",'[1]Leakage Tree Data'!B152,"")</f>
        <v>Total US - MassX and SupercenterX</v>
      </c>
      <c s="72">
        <f>IF('[1]Leakage Tree Data'!C152&lt;&gt;"",'[1]Leakage Tree Data'!C152,"")</f>
        <v>121171760.292236</v>
      </c>
      <c s="72">
        <f>IF('[1]Leakage Tree Data'!D152&lt;&gt;"",'[1]Leakage Tree Data'!D152,"")</f>
        <v>21829257.4463806</v>
      </c>
      <c s="72">
        <f>IF('[1]Leakage Tree Data'!E152&lt;&gt;"",'[1]Leakage Tree Data'!E152,"")</f>
        <v>18.0151360298256</v>
      </c>
      <c s="72">
        <f>IF('[1]Leakage Tree Data'!F152&lt;&gt;"",'[1]Leakage Tree Data'!F152,"")</f>
        <v>99342502.8458557</v>
      </c>
      <c s="72">
        <f>IF('[1]Leakage Tree Data'!G152&lt;&gt;"",'[1]Leakage Tree Data'!G152,"")</f>
        <v>81.9848639701744</v>
      </c>
      <c s="72">
        <f>IF('[1]Leakage Tree Data'!H152&lt;&gt;"",'[1]Leakage Tree Data'!H152,"")</f>
        <v>61518209.9918823</v>
      </c>
      <c s="72" t="str">
        <f>IF('[1]Leakage Tree Data'!I152&lt;&gt;"",'[1]Leakage Tree Data'!I152,"")</f>
        <v>MassX and SupercenterX</v>
      </c>
      <c s="72">
        <f>IF('[1]Leakage Tree Data'!J152&lt;&gt;"",'[1]Leakage Tree Data'!J152,"")</f>
        <v>97.3500170692515</v>
      </c>
      <c s="72">
        <f>IF('[1]Leakage Tree Data'!K152&lt;&gt;"",'[1]Leakage Tree Data'!K152,"")</f>
        <v>1630222.06408691</v>
      </c>
      <c s="72">
        <f>IF('[1]Leakage Tree Data'!L152&lt;&gt;"",'[1]Leakage Tree Data'!L152,"")</f>
        <v>5661746.00291061</v>
      </c>
      <c s="72">
        <f>IF('[1]Leakage Tree Data'!M152&lt;&gt;"",'[1]Leakage Tree Data'!M152,"")</f>
        <v>15717899.767067</v>
      </c>
      <c s="72">
        <f>IF('[1]Leakage Tree Data'!N152&lt;&gt;"",'[1]Leakage Tree Data'!N152,"")</f>
        <v>5661746.00291061</v>
      </c>
      <c s="72">
        <f>IF('[1]Leakage Tree Data'!O152&lt;&gt;"",'[1]Leakage Tree Data'!O152,"")</f>
        <v>12.6200997648544</v>
      </c>
      <c s="72">
        <f>IF('[1]Leakage Tree Data'!P152&lt;&gt;"",'[1]Leakage Tree Data'!P152,"")</f>
        <v>3510991.32283028</v>
      </c>
      <c s="72">
        <f>IF('[1]Leakage Tree Data'!Q152&lt;&gt;"",'[1]Leakage Tree Data'!Q152,"")</f>
      </c>
      <c s="72">
        <f>IF('[1]Leakage Tree Data'!R152&lt;&gt;"",'[1]Leakage Tree Data'!R152,"")</f>
        <v>1017625.85098267</v>
      </c>
      <c s="72">
        <f>IF('[1]Leakage Tree Data'!S152&lt;&gt;"",'[1]Leakage Tree Data'!S152,"")</f>
        <v>-3114063.35662842</v>
      </c>
      <c s="72">
        <f>IF('[1]Leakage Tree Data'!T152&lt;&gt;"",'[1]Leakage Tree Data'!T152,"")</f>
        <v>-2.74430010527003</v>
      </c>
      <c s="72">
        <f>IF('[1]Leakage Tree Data'!U152&lt;&gt;"",'[1]Leakage Tree Data'!U152,"")</f>
        <v>4131689.20761108</v>
      </c>
      <c s="72">
        <f>IF('[1]Leakage Tree Data'!V152&lt;&gt;"",'[1]Leakage Tree Data'!V152,"")</f>
        <v>2.74430010527001</v>
      </c>
      <c s="72">
        <f>IF('[1]Leakage Tree Data'!W152&lt;&gt;"",'[1]Leakage Tree Data'!W152,"")</f>
        <v>-1855949.2237854</v>
      </c>
      <c s="72">
        <f>IF('[1]Leakage Tree Data'!X152&lt;&gt;"",'[1]Leakage Tree Data'!X152,"")</f>
      </c>
      <c s="72">
        <f>IF('[1]Leakage Tree Data'!Y152&lt;&gt;"",'[1]Leakage Tree Data'!Y152,"")</f>
        <v>0.168237108369752</v>
      </c>
      <c s="72">
        <f>IF('[1]Leakage Tree Data'!Z152&lt;&gt;"",'[1]Leakage Tree Data'!Z152,"")</f>
        <v>-155801.190551758</v>
      </c>
      <c s="72">
        <f>IF('[1]Leakage Tree Data'!AA152&lt;&gt;"",'[1]Leakage Tree Data'!AA152,"")</f>
        <v>-325423.030396461</v>
      </c>
      <c s="72">
        <f>IF('[1]Leakage Tree Data'!AB152&lt;&gt;"",'[1]Leakage Tree Data'!AB152,"")</f>
        <v>-1051849.9287014</v>
      </c>
      <c s="72">
        <f>IF('[1]Leakage Tree Data'!AC152&lt;&gt;"",'[1]Leakage Tree Data'!AC152,"")</f>
        <v>-325423.030396461</v>
      </c>
      <c s="72">
        <f>IF('[1]Leakage Tree Data'!AD152&lt;&gt;"",'[1]Leakage Tree Data'!AD152,"")</f>
        <v>-0.405792470628366</v>
      </c>
      <c s="72">
        <f>IF('[1]Leakage Tree Data'!AE152&lt;&gt;"",'[1]Leakage Tree Data'!AE152,"")</f>
      </c>
      <c s="73">
        <f t="shared" si="38"/>
      </c>
      <c s="73">
        <f t="shared" si="39"/>
      </c>
      <c s="73">
        <f t="shared" si="40"/>
      </c>
      <c s="73">
        <f t="shared" si="41"/>
      </c>
      <c s="74">
        <f t="shared" si="32"/>
      </c>
      <c s="74">
        <f t="shared" si="33"/>
      </c>
      <c s="69" t="str">
        <f t="shared" si="34"/>
        <v>Total US - Kmart Corporate</v>
      </c>
      <c s="69" t="str">
        <f t="shared" si="35"/>
        <v>Total US - MassX and SupercenterX</v>
      </c>
      <c s="77"/>
    </row>
    <row r="254" spans="1:141" s="92" customFormat="1" ht="15">
      <c r="A2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254,$AL$8:$AL$15,1,FALSE))=TRUE,IF(AND(CV254=CW254,CV254&lt;&gt;"",DI$111&lt;&gt;"",DK254&lt;&gt;""),IF(CW$101="Y",DK254-IF(ISERROR(VLOOKUP(CV254,$CA$113:$DK$300,37,FALSE))=TRUE,0,IF(VLOOKUP(CV254,$CA$113:$DK$300,37,FALSE)="",0,VLOOKUP(CV254,$CA$113:$DK$300,37,FALSE))),DK254-IF(AND(CW$102="Y",CV254=$CW$111),DI$111,0)),""),"")</f>
      </c>
      <c s="76">
        <f>IF(ISERROR(VLOOKUP(CV254,$AL$8:$AL$15,1,FALSE))=TRUE,IF(CB254&lt;&gt;"",IF(CB254&gt;0,IF(Z$4&lt;&gt;"",MIN(4,RANK(CB254,$CB$111:$CB$300)),RANK(CB254,$CB$111:$CB$300)),""),""),"")</f>
      </c>
      <c s="75">
        <f>IF(ISERROR(VLOOKUP(CV254,$AL$8:$AL$15,1,FALSE))=TRUE,IF(AND(ISERROR(FIND("NeighMkt",$CX$102))=FALSE,LEFT($CW$111,10)="ALL OUTLET",$CA254&lt;&gt;"",DK254&lt;&gt;""),"",IF(AND($CV254&lt;&gt;$CW254,$CW254=CD$110),$DK254,"")),"")</f>
      </c>
      <c s="76">
        <f>IF(ISERROR(VLOOKUP(CV254,$AL$8:$AL$15,1,FALSE))=TRUE,IF(CD254&lt;&gt;"",IF(CD254&gt;0,RANK(CD254,$CD$111:$CD$300),""),""),"")</f>
      </c>
      <c s="75">
        <f>IF(ISERROR(VLOOKUP(CV254,$AL$8:$AL$15,1,FALSE))=TRUE,IF(AND(ISERROR(FIND("NeighMkt",$CX$102))=FALSE,LEFT($CW$111,10)="ALL OUTLET",$CA254&lt;&gt;"",DK254&lt;&gt;""),"",IF(AND($CV254&lt;&gt;$CW254,$CW254=CF$110),$DK254,"")),"")</f>
      </c>
      <c s="76">
        <f>IF(ISERROR(VLOOKUP(CV254,$AL$8:$AL$15,1,FALSE))=TRUE,IF(CF254&lt;&gt;"",IF(CF254&gt;0,RANK(CF254,$CF$111:$CF$300),""),""),"")</f>
      </c>
      <c s="75">
        <f>IF(ISERROR(VLOOKUP(CV254,$AL$8:$AL$15,1,FALSE))=TRUE,IF(AND(ISERROR(FIND("NeighMkt",$CX$102))=FALSE,LEFT($CW$111,10)="ALL OUTLET",$CA254&lt;&gt;"",DK254&lt;&gt;""),"",IF(AND($CV254&lt;&gt;$CW254,$CW254=CH$110),$DK254,"")),"")</f>
      </c>
      <c s="76">
        <f>IF(ISERROR(VLOOKUP(CV254,$AL$8:$AL$15,1,FALSE))=TRUE,IF(CH254&lt;&gt;"",IF(CH254&gt;0,RANK(CH254,$CH$111:$CH$300),""),""),"")</f>
      </c>
      <c s="75">
        <f>IF(ISERROR(VLOOKUP(CV254,$AL$8:$AL$15,1,FALSE))=TRUE,IF(AND(ISERROR(FIND("NeighMkt",$CX$102))=FALSE,LEFT($CW$111,10)="ALL OUTLET",$CA254&lt;&gt;"",DK254&lt;&gt;""),"",IF($Z$4="",IF(AND($CV254&lt;&gt;$CW254,$CW254=CJ$110),$DK254,""),IF(AND($CV254&lt;&gt;$CW254,$CW254&lt;&gt;CD$110,$CW254&lt;&gt;CF$110,$CW254&lt;&gt;CH$110,$CW254&lt;&gt;$CV$111),$DK254,""))),"")</f>
      </c>
      <c s="76">
        <f>IF(ISERROR(VLOOKUP(CV254,$AL$8:$AL$15,1,FALSE))=TRUE,IF(CJ254&lt;&gt;"",IF(CJ254&gt;0,RANK(CJ254,$CJ$111:$CJ$300),""),""),"")</f>
      </c>
      <c s="75">
        <f>IF(ISERROR(VLOOKUP(CV254,$AL$8:$AL$15,1,FALSE))=TRUE,IF(AND(CV254=CW254,CV254&lt;&gt;"",DJ254&lt;&gt;""),IF(AND(ISERROR(FIND("NeighMkt",$CX$102))=FALSE,LEFT($CW$111,10)="ALL OUTLET"),DJ254-IF(ISERROR(VLOOKUP(CV254,$CA$113:$DK$300,36,FALSE))=TRUE,0,IF(VLOOKUP(CV254,$CA$113:$DK$300,36,FALSE)="",0,VLOOKUP(CV254,$CA$113:$DK$300,36,FALSE))),DJ254),""),"")</f>
      </c>
      <c s="76">
        <f>IF(ISERROR(VLOOKUP(CV254,$AL$8:$AL$15,1,FALSE))=TRUE,IF(CL254&lt;&gt;"",IF(CL254&gt;0,IF($Z$4&lt;&gt;"",MIN(4,RANK(CL254,$CL$111:$CL$300)),RANK(CL254,$CL$111:$CL$300)),""),""),"")</f>
      </c>
      <c s="75">
        <f>IF(ISERROR(VLOOKUP(CV254,$AL$8:$AL$15,1,FALSE))=TRUE,IF(AND(ISERROR(FIND("NeighMkt",$CX$102))=FALSE,LEFT($CW$111,10)="ALL OUTLET",$CA254&lt;&gt;"",DJ254&lt;&gt;""),"",IF(AND($CV254&lt;&gt;$CW254,$CW254=CN$110),$DJ254,"")),"")</f>
      </c>
      <c s="76">
        <f>IF(ISERROR(VLOOKUP(CV254,$AL$8:$AL$15,1,FALSE))=TRUE,IF(CN254&lt;&gt;"",IF(CN254&gt;0,RANK(CN254,$CN$111:$CN$300),""),""),"")</f>
      </c>
      <c s="75">
        <f>IF(ISERROR(VLOOKUP(CV254,$AL$8:$AL$15,1,FALSE))=TRUE,IF(AND(ISERROR(FIND("NeighMkt",$CX$102))=FALSE,LEFT($CW$111,10)="ALL OUTLET",$CA254&lt;&gt;"",DJ254&lt;&gt;""),"",IF(AND($CV254&lt;&gt;$CW254,$CW254=CP$110),$DJ254,"")),"")</f>
      </c>
      <c s="76">
        <f>IF(ISERROR(VLOOKUP(CV254,$AL$8:$AL$15,1,FALSE))=TRUE,IF(CP254&lt;&gt;"",IF(CP254&gt;0,RANK(CP254,$CP$111:$CP$300),""),""),"")</f>
      </c>
      <c s="75">
        <f>IF(ISERROR(VLOOKUP(CV254,$AL$8:$AL$15,1,FALSE))=TRUE,IF(AND(ISERROR(FIND("NeighMkt",$CX$102))=FALSE,LEFT($CW$111,10)="ALL OUTLET",$CA254&lt;&gt;"",DJ254&lt;&gt;""),"",IF(AND($CV254&lt;&gt;$CW254,$CW254=CR$110),$DJ254,"")),"")</f>
      </c>
      <c s="76">
        <f>IF(ISERROR(VLOOKUP(CV254,$AL$8:$AL$15,1,FALSE))=TRUE,IF(CR254&lt;&gt;"",IF(CR254&gt;0,RANK(CR254,$CR$111:$CR$300),""),""),"")</f>
      </c>
      <c s="75">
        <f>IF(ISERROR(VLOOKUP(CV254,$AL$8:$AL$15,1,FALSE))=TRUE,IF(AND(ISERROR(FIND("NeighMkt",$CX$102))=FALSE,LEFT($CW$111,10)="ALL OUTLET",$CA254&lt;&gt;"",DJ254&lt;&gt;""),"",IF($Z$4="",IF(AND($CV254&lt;&gt;$CW254,$CW254=CT$110),$DJ254,""),IF(AND($CV254&lt;&gt;$CW254,$CW254&lt;&gt;CN$110,$CW254&lt;&gt;CP$110,$CW254&lt;&gt;CR$110,$CW254&lt;&gt;$CV$111),$DJ254,""))),"")</f>
        <v>680554.556854248</v>
      </c>
      <c s="76">
        <f>IF(ISERROR(VLOOKUP(CV254,$AL$8:$AL$15,1,FALSE))=TRUE,IF(CT254&lt;&gt;"",IF(CT254&gt;0,RANK(CT254,$CT$111:$CT$300),""),""),"")</f>
        <v>21</v>
      </c>
      <c s="65" t="str">
        <f t="shared" si="36"/>
        <v>Roses Discount</v>
      </c>
      <c s="65" t="str">
        <f t="shared" si="37"/>
        <v>MassX and SupercenterX</v>
      </c>
      <c s="72" t="str">
        <f>IF('[1]Leakage Tree Data'!A153&lt;&gt;"",'[1]Leakage Tree Data'!A153,"")</f>
        <v>Total US - Roses Discount</v>
      </c>
      <c s="72" t="str">
        <f>IF('[1]Leakage Tree Data'!B153&lt;&gt;"",'[1]Leakage Tree Data'!B153,"")</f>
        <v>Total US - MassX and SupercenterX</v>
      </c>
      <c s="72">
        <f>IF('[1]Leakage Tree Data'!C153&lt;&gt;"",'[1]Leakage Tree Data'!C153,"")</f>
        <v>121171760.292236</v>
      </c>
      <c s="72">
        <f>IF('[1]Leakage Tree Data'!D153&lt;&gt;"",'[1]Leakage Tree Data'!D153,"")</f>
        <v>2807958.19036865</v>
      </c>
      <c s="72">
        <f>IF('[1]Leakage Tree Data'!E153&lt;&gt;"",'[1]Leakage Tree Data'!E153,"")</f>
        <v>2.31733712838416</v>
      </c>
      <c s="72">
        <f>IF('[1]Leakage Tree Data'!F153&lt;&gt;"",'[1]Leakage Tree Data'!F153,"")</f>
        <v>118363802.101868</v>
      </c>
      <c s="72">
        <f>IF('[1]Leakage Tree Data'!G153&lt;&gt;"",'[1]Leakage Tree Data'!G153,"")</f>
        <v>97.6826628716158</v>
      </c>
      <c s="72">
        <f>IF('[1]Leakage Tree Data'!H153&lt;&gt;"",'[1]Leakage Tree Data'!H153,"")</f>
        <v>61518209.9918823</v>
      </c>
      <c s="72" t="str">
        <f>IF('[1]Leakage Tree Data'!I153&lt;&gt;"",'[1]Leakage Tree Data'!I153,"")</f>
        <v>MassX and SupercenterX</v>
      </c>
      <c s="72">
        <f>IF('[1]Leakage Tree Data'!J153&lt;&gt;"",'[1]Leakage Tree Data'!J153,"")</f>
        <v>99.8410145603132</v>
      </c>
      <c s="72">
        <f>IF('[1]Leakage Tree Data'!K153&lt;&gt;"",'[1]Leakage Tree Data'!K153,"")</f>
        <v>97804.9966430664</v>
      </c>
      <c s="72">
        <f>IF('[1]Leakage Tree Data'!L153&lt;&gt;"",'[1]Leakage Tree Data'!L153,"")</f>
      </c>
      <c s="72">
        <f>IF('[1]Leakage Tree Data'!M153&lt;&gt;"",'[1]Leakage Tree Data'!M153,"")</f>
        <v>680554.556854248</v>
      </c>
      <c s="72">
        <f>IF('[1]Leakage Tree Data'!N153&lt;&gt;"",'[1]Leakage Tree Data'!N153,"")</f>
      </c>
      <c s="72">
        <f>IF('[1]Leakage Tree Data'!O153&lt;&gt;"",'[1]Leakage Tree Data'!O153,"")</f>
        <v>8.62979593609758</v>
      </c>
      <c s="72">
        <f>IF('[1]Leakage Tree Data'!P153&lt;&gt;"",'[1]Leakage Tree Data'!P153,"")</f>
        <v>204376.176675136</v>
      </c>
      <c s="72">
        <f>IF('[1]Leakage Tree Data'!Q153&lt;&gt;"",'[1]Leakage Tree Data'!Q153,"")</f>
      </c>
      <c s="72">
        <f>IF('[1]Leakage Tree Data'!R153&lt;&gt;"",'[1]Leakage Tree Data'!R153,"")</f>
        <v>1017625.85098267</v>
      </c>
      <c s="72">
        <f>IF('[1]Leakage Tree Data'!S153&lt;&gt;"",'[1]Leakage Tree Data'!S153,"")</f>
        <v>-139082.549499512</v>
      </c>
      <c s="72">
        <f>IF('[1]Leakage Tree Data'!T153&lt;&gt;"",'[1]Leakage Tree Data'!T153,"")</f>
        <v>-0.135379753621295</v>
      </c>
      <c s="72">
        <f>IF('[1]Leakage Tree Data'!U153&lt;&gt;"",'[1]Leakage Tree Data'!U153,"")</f>
        <v>1156708.40048218</v>
      </c>
      <c s="72">
        <f>IF('[1]Leakage Tree Data'!V153&lt;&gt;"",'[1]Leakage Tree Data'!V153,"")</f>
        <v>0.135379753621294</v>
      </c>
      <c s="72">
        <f>IF('[1]Leakage Tree Data'!W153&lt;&gt;"",'[1]Leakage Tree Data'!W153,"")</f>
        <v>-1855949.2237854</v>
      </c>
      <c s="72">
        <f>IF('[1]Leakage Tree Data'!X153&lt;&gt;"",'[1]Leakage Tree Data'!X153,"")</f>
      </c>
      <c s="72">
        <f>IF('[1]Leakage Tree Data'!Y153&lt;&gt;"",'[1]Leakage Tree Data'!Y153,"")</f>
      </c>
      <c s="72">
        <f>IF('[1]Leakage Tree Data'!Z153&lt;&gt;"",'[1]Leakage Tree Data'!Z153,"")</f>
      </c>
      <c s="72">
        <f>IF('[1]Leakage Tree Data'!AA153&lt;&gt;"",'[1]Leakage Tree Data'!AA153,"")</f>
      </c>
      <c s="72">
        <f>IF('[1]Leakage Tree Data'!AB153&lt;&gt;"",'[1]Leakage Tree Data'!AB153,"")</f>
      </c>
      <c s="72">
        <f>IF('[1]Leakage Tree Data'!AC153&lt;&gt;"",'[1]Leakage Tree Data'!AC153,"")</f>
      </c>
      <c s="72">
        <f>IF('[1]Leakage Tree Data'!AD153&lt;&gt;"",'[1]Leakage Tree Data'!AD153,"")</f>
        <v>-0.266268325958075</v>
      </c>
      <c s="72">
        <f>IF('[1]Leakage Tree Data'!AE153&lt;&gt;"",'[1]Leakage Tree Data'!AE153,"")</f>
      </c>
      <c s="73">
        <f t="shared" si="38"/>
      </c>
      <c s="73">
        <f t="shared" si="39"/>
      </c>
      <c s="73">
        <f t="shared" si="40"/>
      </c>
      <c s="73">
        <f t="shared" si="41"/>
      </c>
      <c s="74">
        <f t="shared" si="32"/>
      </c>
      <c s="74">
        <f t="shared" si="33"/>
      </c>
      <c s="69" t="str">
        <f t="shared" si="34"/>
        <v>Total US - Roses Discount</v>
      </c>
      <c s="69" t="str">
        <f t="shared" si="35"/>
        <v>Total US - MassX and SupercenterX</v>
      </c>
      <c s="77"/>
    </row>
    <row r="255" spans="1:141" s="92" customFormat="1" ht="15">
      <c r="A2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255,$AL$8:$AL$15,1,FALSE))=TRUE,IF(AND(CV255=CW255,CV255&lt;&gt;"",DI$111&lt;&gt;"",DK255&lt;&gt;""),IF(CW$101="Y",DK255-IF(ISERROR(VLOOKUP(CV255,$CA$113:$DK$300,37,FALSE))=TRUE,0,IF(VLOOKUP(CV255,$CA$113:$DK$300,37,FALSE)="",0,VLOOKUP(CV255,$CA$113:$DK$300,37,FALSE))),DK255-IF(AND(CW$102="Y",CV255=$CW$111),DI$111,0)),""),"")</f>
      </c>
      <c s="76">
        <f>IF(ISERROR(VLOOKUP(CV255,$AL$8:$AL$15,1,FALSE))=TRUE,IF(CB255&lt;&gt;"",IF(CB255&gt;0,IF(Z$4&lt;&gt;"",MIN(4,RANK(CB255,$CB$111:$CB$300)),RANK(CB255,$CB$111:$CB$300)),""),""),"")</f>
      </c>
      <c s="75">
        <f>IF(ISERROR(VLOOKUP(CV255,$AL$8:$AL$15,1,FALSE))=TRUE,IF(AND(ISERROR(FIND("NeighMkt",$CX$102))=FALSE,LEFT($CW$111,10)="ALL OUTLET",$CA255&lt;&gt;"",DK255&lt;&gt;""),"",IF(AND($CV255&lt;&gt;$CW255,$CW255=CD$110),$DK255,"")),"")</f>
      </c>
      <c s="76">
        <f>IF(ISERROR(VLOOKUP(CV255,$AL$8:$AL$15,1,FALSE))=TRUE,IF(CD255&lt;&gt;"",IF(CD255&gt;0,RANK(CD255,$CD$111:$CD$300),""),""),"")</f>
      </c>
      <c s="75">
        <f>IF(ISERROR(VLOOKUP(CV255,$AL$8:$AL$15,1,FALSE))=TRUE,IF(AND(ISERROR(FIND("NeighMkt",$CX$102))=FALSE,LEFT($CW$111,10)="ALL OUTLET",$CA255&lt;&gt;"",DK255&lt;&gt;""),"",IF(AND($CV255&lt;&gt;$CW255,$CW255=CF$110),$DK255,"")),"")</f>
      </c>
      <c s="76">
        <f>IF(ISERROR(VLOOKUP(CV255,$AL$8:$AL$15,1,FALSE))=TRUE,IF(CF255&lt;&gt;"",IF(CF255&gt;0,RANK(CF255,$CF$111:$CF$300),""),""),"")</f>
      </c>
      <c s="75">
        <f>IF(ISERROR(VLOOKUP(CV255,$AL$8:$AL$15,1,FALSE))=TRUE,IF(AND(ISERROR(FIND("NeighMkt",$CX$102))=FALSE,LEFT($CW$111,10)="ALL OUTLET",$CA255&lt;&gt;"",DK255&lt;&gt;""),"",IF(AND($CV255&lt;&gt;$CW255,$CW255=CH$110),$DK255,"")),"")</f>
      </c>
      <c s="76">
        <f>IF(ISERROR(VLOOKUP(CV255,$AL$8:$AL$15,1,FALSE))=TRUE,IF(CH255&lt;&gt;"",IF(CH255&gt;0,RANK(CH255,$CH$111:$CH$300),""),""),"")</f>
      </c>
      <c s="75">
        <f>IF(ISERROR(VLOOKUP(CV255,$AL$8:$AL$15,1,FALSE))=TRUE,IF(AND(ISERROR(FIND("NeighMkt",$CX$102))=FALSE,LEFT($CW$111,10)="ALL OUTLET",$CA255&lt;&gt;"",DK255&lt;&gt;""),"",IF($Z$4="",IF(AND($CV255&lt;&gt;$CW255,$CW255=CJ$110),$DK255,""),IF(AND($CV255&lt;&gt;$CW255,$CW255&lt;&gt;CD$110,$CW255&lt;&gt;CF$110,$CW255&lt;&gt;CH$110,$CW255&lt;&gt;$CV$111),$DK255,""))),"")</f>
      </c>
      <c s="76">
        <f>IF(ISERROR(VLOOKUP(CV255,$AL$8:$AL$15,1,FALSE))=TRUE,IF(CJ255&lt;&gt;"",IF(CJ255&gt;0,RANK(CJ255,$CJ$111:$CJ$300),""),""),"")</f>
      </c>
      <c s="75">
        <f>IF(ISERROR(VLOOKUP(CV255,$AL$8:$AL$15,1,FALSE))=TRUE,IF(AND(CV255=CW255,CV255&lt;&gt;"",DJ255&lt;&gt;""),IF(AND(ISERROR(FIND("NeighMkt",$CX$102))=FALSE,LEFT($CW$111,10)="ALL OUTLET"),DJ255-IF(ISERROR(VLOOKUP(CV255,$CA$113:$DK$300,36,FALSE))=TRUE,0,IF(VLOOKUP(CV255,$CA$113:$DK$300,36,FALSE)="",0,VLOOKUP(CV255,$CA$113:$DK$300,36,FALSE))),DJ255),""),"")</f>
      </c>
      <c s="76">
        <f>IF(ISERROR(VLOOKUP(CV255,$AL$8:$AL$15,1,FALSE))=TRUE,IF(CL255&lt;&gt;"",IF(CL255&gt;0,IF($Z$4&lt;&gt;"",MIN(4,RANK(CL255,$CL$111:$CL$300)),RANK(CL255,$CL$111:$CL$300)),""),""),"")</f>
      </c>
      <c s="75">
        <f>IF(ISERROR(VLOOKUP(CV255,$AL$8:$AL$15,1,FALSE))=TRUE,IF(AND(ISERROR(FIND("NeighMkt",$CX$102))=FALSE,LEFT($CW$111,10)="ALL OUTLET",$CA255&lt;&gt;"",DJ255&lt;&gt;""),"",IF(AND($CV255&lt;&gt;$CW255,$CW255=CN$110),$DJ255,"")),"")</f>
      </c>
      <c s="76">
        <f>IF(ISERROR(VLOOKUP(CV255,$AL$8:$AL$15,1,FALSE))=TRUE,IF(CN255&lt;&gt;"",IF(CN255&gt;0,RANK(CN255,$CN$111:$CN$300),""),""),"")</f>
      </c>
      <c s="75">
        <f>IF(ISERROR(VLOOKUP(CV255,$AL$8:$AL$15,1,FALSE))=TRUE,IF(AND(ISERROR(FIND("NeighMkt",$CX$102))=FALSE,LEFT($CW$111,10)="ALL OUTLET",$CA255&lt;&gt;"",DJ255&lt;&gt;""),"",IF(AND($CV255&lt;&gt;$CW255,$CW255=CP$110),$DJ255,"")),"")</f>
      </c>
      <c s="76">
        <f>IF(ISERROR(VLOOKUP(CV255,$AL$8:$AL$15,1,FALSE))=TRUE,IF(CP255&lt;&gt;"",IF(CP255&gt;0,RANK(CP255,$CP$111:$CP$300),""),""),"")</f>
      </c>
      <c s="75">
        <f>IF(ISERROR(VLOOKUP(CV255,$AL$8:$AL$15,1,FALSE))=TRUE,IF(AND(ISERROR(FIND("NeighMkt",$CX$102))=FALSE,LEFT($CW$111,10)="ALL OUTLET",$CA255&lt;&gt;"",DJ255&lt;&gt;""),"",IF(AND($CV255&lt;&gt;$CW255,$CW255=CR$110),$DJ255,"")),"")</f>
      </c>
      <c s="76">
        <f>IF(ISERROR(VLOOKUP(CV255,$AL$8:$AL$15,1,FALSE))=TRUE,IF(CR255&lt;&gt;"",IF(CR255&gt;0,RANK(CR255,$CR$111:$CR$300),""),""),"")</f>
      </c>
      <c s="75">
        <f>IF(ISERROR(VLOOKUP(CV255,$AL$8:$AL$15,1,FALSE))=TRUE,IF(AND(ISERROR(FIND("NeighMkt",$CX$102))=FALSE,LEFT($CW$111,10)="ALL OUTLET",$CA255&lt;&gt;"",DJ255&lt;&gt;""),"",IF($Z$4="",IF(AND($CV255&lt;&gt;$CW255,$CW255=CT$110),$DJ255,""),IF(AND($CV255&lt;&gt;$CW255,$CW255&lt;&gt;CN$110,$CW255&lt;&gt;CP$110,$CW255&lt;&gt;CR$110,$CW255&lt;&gt;$CV$111),$DJ255,""))),"")</f>
        <v>1334682.04094315</v>
      </c>
      <c s="76">
        <f>IF(ISERROR(VLOOKUP(CV255,$AL$8:$AL$15,1,FALSE))=TRUE,IF(CT255&lt;&gt;"",IF(CT255&gt;0,RANK(CT255,$CT$111:$CT$300),""),""),"")</f>
        <v>19</v>
      </c>
      <c s="65" t="str">
        <f t="shared" si="36"/>
        <v>Shopko</v>
      </c>
      <c s="65" t="str">
        <f t="shared" si="37"/>
        <v>MassX and SupercenterX</v>
      </c>
      <c s="72" t="str">
        <f>IF('[1]Leakage Tree Data'!A154&lt;&gt;"",'[1]Leakage Tree Data'!A154,"")</f>
        <v>Total US - Shopko</v>
      </c>
      <c s="72" t="str">
        <f>IF('[1]Leakage Tree Data'!B154&lt;&gt;"",'[1]Leakage Tree Data'!B154,"")</f>
        <v>Total US - MassX and SupercenterX</v>
      </c>
      <c s="72">
        <f>IF('[1]Leakage Tree Data'!C154&lt;&gt;"",'[1]Leakage Tree Data'!C154,"")</f>
        <v>121171760.292236</v>
      </c>
      <c s="72">
        <f>IF('[1]Leakage Tree Data'!D154&lt;&gt;"",'[1]Leakage Tree Data'!D154,"")</f>
        <v>3730341.5111084</v>
      </c>
      <c s="72">
        <f>IF('[1]Leakage Tree Data'!E154&lt;&gt;"",'[1]Leakage Tree Data'!E154,"")</f>
        <v>3.0785568370978</v>
      </c>
      <c s="72">
        <f>IF('[1]Leakage Tree Data'!F154&lt;&gt;"",'[1]Leakage Tree Data'!F154,"")</f>
        <v>117441418.781128</v>
      </c>
      <c s="72">
        <f>IF('[1]Leakage Tree Data'!G154&lt;&gt;"",'[1]Leakage Tree Data'!G154,"")</f>
        <v>96.9214431629022</v>
      </c>
      <c s="72">
        <f>IF('[1]Leakage Tree Data'!H154&lt;&gt;"",'[1]Leakage Tree Data'!H154,"")</f>
        <v>61518209.9918823</v>
      </c>
      <c s="72" t="str">
        <f>IF('[1]Leakage Tree Data'!I154&lt;&gt;"",'[1]Leakage Tree Data'!I154,"")</f>
        <v>MassX and SupercenterX</v>
      </c>
      <c s="72">
        <f>IF('[1]Leakage Tree Data'!J154&lt;&gt;"",'[1]Leakage Tree Data'!J154,"")</f>
        <v>99.6939347976019</v>
      </c>
      <c s="72">
        <f>IF('[1]Leakage Tree Data'!K154&lt;&gt;"",'[1]Leakage Tree Data'!K154,"")</f>
        <v>188285.83392334</v>
      </c>
      <c s="72">
        <f>IF('[1]Leakage Tree Data'!L154&lt;&gt;"",'[1]Leakage Tree Data'!L154,"")</f>
      </c>
      <c s="72">
        <f>IF('[1]Leakage Tree Data'!M154&lt;&gt;"",'[1]Leakage Tree Data'!M154,"")</f>
        <v>1334682.04094315</v>
      </c>
      <c s="72">
        <f>IF('[1]Leakage Tree Data'!N154&lt;&gt;"",'[1]Leakage Tree Data'!N154,"")</f>
      </c>
      <c s="72">
        <f>IF('[1]Leakage Tree Data'!O154&lt;&gt;"",'[1]Leakage Tree Data'!O154,"")</f>
        <v>10.5337763680959</v>
      </c>
      <c s="72">
        <f>IF('[1]Leakage Tree Data'!P154&lt;&gt;"",'[1]Leakage Tree Data'!P154,"")</f>
        <v>538071.547782395</v>
      </c>
      <c s="72">
        <f>IF('[1]Leakage Tree Data'!Q154&lt;&gt;"",'[1]Leakage Tree Data'!Q154,"")</f>
      </c>
      <c s="72">
        <f>IF('[1]Leakage Tree Data'!R154&lt;&gt;"",'[1]Leakage Tree Data'!R154,"")</f>
        <v>1017625.85098267</v>
      </c>
      <c s="72">
        <f>IF('[1]Leakage Tree Data'!S154&lt;&gt;"",'[1]Leakage Tree Data'!S154,"")</f>
        <v>-243913.949951172</v>
      </c>
      <c s="72">
        <f>IF('[1]Leakage Tree Data'!T154&lt;&gt;"",'[1]Leakage Tree Data'!T154,"")</f>
        <v>-0.229074214917878</v>
      </c>
      <c s="72">
        <f>IF('[1]Leakage Tree Data'!U154&lt;&gt;"",'[1]Leakage Tree Data'!U154,"")</f>
        <v>1261539.80093384</v>
      </c>
      <c s="72">
        <f>IF('[1]Leakage Tree Data'!V154&lt;&gt;"",'[1]Leakage Tree Data'!V154,"")</f>
        <v>0.229074214917873</v>
      </c>
      <c s="72">
        <f>IF('[1]Leakage Tree Data'!W154&lt;&gt;"",'[1]Leakage Tree Data'!W154,"")</f>
        <v>-1855949.2237854</v>
      </c>
      <c s="72">
        <f>IF('[1]Leakage Tree Data'!X154&lt;&gt;"",'[1]Leakage Tree Data'!X154,"")</f>
      </c>
      <c s="72">
        <f>IF('[1]Leakage Tree Data'!Y154&lt;&gt;"",'[1]Leakage Tree Data'!Y154,"")</f>
        <v>-0.00710420965548053</v>
      </c>
      <c s="72">
        <f>IF('[1]Leakage Tree Data'!Z154&lt;&gt;"",'[1]Leakage Tree Data'!Z154,"")</f>
        <v>-1178.18161010742</v>
      </c>
      <c s="72">
        <f>IF('[1]Leakage Tree Data'!AA154&lt;&gt;"",'[1]Leakage Tree Data'!AA154,"")</f>
      </c>
      <c s="72">
        <f>IF('[1]Leakage Tree Data'!AB154&lt;&gt;"",'[1]Leakage Tree Data'!AB154,"")</f>
        <v>265695.411927223</v>
      </c>
      <c s="72">
        <f>IF('[1]Leakage Tree Data'!AC154&lt;&gt;"",'[1]Leakage Tree Data'!AC154,"")</f>
      </c>
      <c s="72">
        <f>IF('[1]Leakage Tree Data'!AD154&lt;&gt;"",'[1]Leakage Tree Data'!AD154,"")</f>
        <v>1.01158204211623</v>
      </c>
      <c s="72">
        <f>IF('[1]Leakage Tree Data'!AE154&lt;&gt;"",'[1]Leakage Tree Data'!AE154,"")</f>
      </c>
      <c s="73">
        <f t="shared" si="38"/>
      </c>
      <c s="73">
        <f t="shared" si="39"/>
      </c>
      <c s="73">
        <f t="shared" si="40"/>
      </c>
      <c s="73">
        <f t="shared" si="41"/>
      </c>
      <c s="74">
        <f t="shared" si="32"/>
      </c>
      <c s="74">
        <f t="shared" si="33"/>
      </c>
      <c s="69" t="str">
        <f t="shared" si="34"/>
        <v>Total US - Shopko</v>
      </c>
      <c s="69" t="str">
        <f t="shared" si="35"/>
        <v>Total US - MassX and SupercenterX</v>
      </c>
      <c s="77"/>
    </row>
    <row r="256" spans="1:141" s="92" customFormat="1" ht="15">
      <c r="A2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256,$AL$8:$AL$15,1,FALSE))=TRUE,IF(AND(CV256=CW256,CV256&lt;&gt;"",DI$111&lt;&gt;"",DK256&lt;&gt;""),IF(CW$101="Y",DK256-IF(ISERROR(VLOOKUP(CV256,$CA$113:$DK$300,37,FALSE))=TRUE,0,IF(VLOOKUP(CV256,$CA$113:$DK$300,37,FALSE)="",0,VLOOKUP(CV256,$CA$113:$DK$300,37,FALSE))),DK256-IF(AND(CW$102="Y",CV256=$CW$111),DI$111,0)),""),"")</f>
        <v>3768044.61592293</v>
      </c>
      <c s="76">
        <f>IF(ISERROR(VLOOKUP(CV256,$AL$8:$AL$15,1,FALSE))=TRUE,IF(CB256&lt;&gt;"",IF(CB256&gt;0,IF(Z$4&lt;&gt;"",MIN(4,RANK(CB256,$CB$111:$CB$300)),RANK(CB256,$CB$111:$CB$300)),""),""),"")</f>
        <v>4</v>
      </c>
      <c s="75">
        <f>IF(ISERROR(VLOOKUP(CV256,$AL$8:$AL$15,1,FALSE))=TRUE,IF(AND(ISERROR(FIND("NeighMkt",$CX$102))=FALSE,LEFT($CW$111,10)="ALL OUTLET",$CA256&lt;&gt;"",DK256&lt;&gt;""),"",IF(AND($CV256&lt;&gt;$CW256,$CW256=CD$110),$DK256,"")),"")</f>
      </c>
      <c s="76">
        <f>IF(ISERROR(VLOOKUP(CV256,$AL$8:$AL$15,1,FALSE))=TRUE,IF(CD256&lt;&gt;"",IF(CD256&gt;0,RANK(CD256,$CD$111:$CD$300),""),""),"")</f>
      </c>
      <c s="75">
        <f>IF(ISERROR(VLOOKUP(CV256,$AL$8:$AL$15,1,FALSE))=TRUE,IF(AND(ISERROR(FIND("NeighMkt",$CX$102))=FALSE,LEFT($CW$111,10)="ALL OUTLET",$CA256&lt;&gt;"",DK256&lt;&gt;""),"",IF(AND($CV256&lt;&gt;$CW256,$CW256=CF$110),$DK256,"")),"")</f>
      </c>
      <c s="76">
        <f>IF(ISERROR(VLOOKUP(CV256,$AL$8:$AL$15,1,FALSE))=TRUE,IF(CF256&lt;&gt;"",IF(CF256&gt;0,RANK(CF256,$CF$111:$CF$300),""),""),"")</f>
      </c>
      <c s="75">
        <f>IF(ISERROR(VLOOKUP(CV256,$AL$8:$AL$15,1,FALSE))=TRUE,IF(AND(ISERROR(FIND("NeighMkt",$CX$102))=FALSE,LEFT($CW$111,10)="ALL OUTLET",$CA256&lt;&gt;"",DK256&lt;&gt;""),"",IF(AND($CV256&lt;&gt;$CW256,$CW256=CH$110),$DK256,"")),"")</f>
      </c>
      <c s="76">
        <f>IF(ISERROR(VLOOKUP(CV256,$AL$8:$AL$15,1,FALSE))=TRUE,IF(CH256&lt;&gt;"",IF(CH256&gt;0,RANK(CH256,$CH$111:$CH$300),""),""),"")</f>
      </c>
      <c s="75">
        <f>IF(ISERROR(VLOOKUP(CV256,$AL$8:$AL$15,1,FALSE))=TRUE,IF(AND(ISERROR(FIND("NeighMkt",$CX$102))=FALSE,LEFT($CW$111,10)="ALL OUTLET",$CA256&lt;&gt;"",DK256&lt;&gt;""),"",IF($Z$4="",IF(AND($CV256&lt;&gt;$CW256,$CW256=CJ$110),$DK256,""),IF(AND($CV256&lt;&gt;$CW256,$CW256&lt;&gt;CD$110,$CW256&lt;&gt;CF$110,$CW256&lt;&gt;CH$110,$CW256&lt;&gt;$CV$111),$DK256,""))),"")</f>
      </c>
      <c s="76">
        <f>IF(ISERROR(VLOOKUP(CV256,$AL$8:$AL$15,1,FALSE))=TRUE,IF(CJ256&lt;&gt;"",IF(CJ256&gt;0,RANK(CJ256,$CJ$111:$CJ$300),""),""),"")</f>
      </c>
      <c s="75">
        <f>IF(ISERROR(VLOOKUP(CV256,$AL$8:$AL$15,1,FALSE))=TRUE,IF(AND(CV256=CW256,CV256&lt;&gt;"",DJ256&lt;&gt;""),IF(AND(ISERROR(FIND("NeighMkt",$CX$102))=FALSE,LEFT($CW$111,10)="ALL OUTLET"),DJ256-IF(ISERROR(VLOOKUP(CV256,$CA$113:$DK$300,36,FALSE))=TRUE,0,IF(VLOOKUP(CV256,$CA$113:$DK$300,36,FALSE)="",0,VLOOKUP(CV256,$CA$113:$DK$300,36,FALSE))),DJ256),""),"")</f>
        <v>25203447.742321</v>
      </c>
      <c s="76">
        <f>IF(ISERROR(VLOOKUP(CV256,$AL$8:$AL$15,1,FALSE))=TRUE,IF(CL256&lt;&gt;"",IF(CL256&gt;0,IF($Z$4&lt;&gt;"",MIN(4,RANK(CL256,$CL$111:$CL$300)),RANK(CL256,$CL$111:$CL$300)),""),""),"")</f>
        <v>4</v>
      </c>
      <c s="75">
        <f>IF(ISERROR(VLOOKUP(CV256,$AL$8:$AL$15,1,FALSE))=TRUE,IF(AND(ISERROR(FIND("NeighMkt",$CX$102))=FALSE,LEFT($CW$111,10)="ALL OUTLET",$CA256&lt;&gt;"",DJ256&lt;&gt;""),"",IF(AND($CV256&lt;&gt;$CW256,$CW256=CN$110),$DJ256,"")),"")</f>
      </c>
      <c s="76">
        <f>IF(ISERROR(VLOOKUP(CV256,$AL$8:$AL$15,1,FALSE))=TRUE,IF(CN256&lt;&gt;"",IF(CN256&gt;0,RANK(CN256,$CN$111:$CN$300),""),""),"")</f>
      </c>
      <c s="75">
        <f>IF(ISERROR(VLOOKUP(CV256,$AL$8:$AL$15,1,FALSE))=TRUE,IF(AND(ISERROR(FIND("NeighMkt",$CX$102))=FALSE,LEFT($CW$111,10)="ALL OUTLET",$CA256&lt;&gt;"",DJ256&lt;&gt;""),"",IF(AND($CV256&lt;&gt;$CW256,$CW256=CP$110),$DJ256,"")),"")</f>
      </c>
      <c s="76">
        <f>IF(ISERROR(VLOOKUP(CV256,$AL$8:$AL$15,1,FALSE))=TRUE,IF(CP256&lt;&gt;"",IF(CP256&gt;0,RANK(CP256,$CP$111:$CP$300),""),""),"")</f>
      </c>
      <c s="75">
        <f>IF(ISERROR(VLOOKUP(CV256,$AL$8:$AL$15,1,FALSE))=TRUE,IF(AND(ISERROR(FIND("NeighMkt",$CX$102))=FALSE,LEFT($CW$111,10)="ALL OUTLET",$CA256&lt;&gt;"",DJ256&lt;&gt;""),"",IF(AND($CV256&lt;&gt;$CW256,$CW256=CR$110),$DJ256,"")),"")</f>
      </c>
      <c s="76">
        <f>IF(ISERROR(VLOOKUP(CV256,$AL$8:$AL$15,1,FALSE))=TRUE,IF(CR256&lt;&gt;"",IF(CR256&gt;0,RANK(CR256,$CR$111:$CR$300),""),""),"")</f>
      </c>
      <c s="75">
        <f>IF(ISERROR(VLOOKUP(CV256,$AL$8:$AL$15,1,FALSE))=TRUE,IF(AND(ISERROR(FIND("NeighMkt",$CX$102))=FALSE,LEFT($CW$111,10)="ALL OUTLET",$CA256&lt;&gt;"",DJ256&lt;&gt;""),"",IF($Z$4="",IF(AND($CV256&lt;&gt;$CW256,$CW256=CT$110),$DJ256,""),IF(AND($CV256&lt;&gt;$CW256,$CW256&lt;&gt;CN$110,$CW256&lt;&gt;CP$110,$CW256&lt;&gt;CR$110,$CW256&lt;&gt;$CV$111),$DJ256,""))),"")</f>
      </c>
      <c s="76">
        <f>IF(ISERROR(VLOOKUP(CV256,$AL$8:$AL$15,1,FALSE))=TRUE,IF(CT256&lt;&gt;"",IF(CT256&gt;0,RANK(CT256,$CT$111:$CT$300),""),""),"")</f>
      </c>
      <c s="65" t="str">
        <f t="shared" si="36"/>
        <v>Military</v>
      </c>
      <c s="65" t="str">
        <f t="shared" si="37"/>
        <v>Military</v>
      </c>
      <c s="72" t="str">
        <f>IF('[1]Leakage Tree Data'!A155&lt;&gt;"",'[1]Leakage Tree Data'!A155,"")</f>
        <v>Total US - Military</v>
      </c>
      <c s="72" t="str">
        <f>IF('[1]Leakage Tree Data'!B155&lt;&gt;"",'[1]Leakage Tree Data'!B155,"")</f>
        <v>Total US - Military</v>
      </c>
      <c s="72">
        <f>IF('[1]Leakage Tree Data'!C155&lt;&gt;"",'[1]Leakage Tree Data'!C155,"")</f>
        <v>121171760.292236</v>
      </c>
      <c s="72">
        <f>IF('[1]Leakage Tree Data'!D155&lt;&gt;"",'[1]Leakage Tree Data'!D155,"")</f>
        <v>4401775.03637695</v>
      </c>
      <c s="72">
        <f>IF('[1]Leakage Tree Data'!E155&lt;&gt;"",'[1]Leakage Tree Data'!E155,"")</f>
        <v>3.63267400404266</v>
      </c>
      <c s="72">
        <f>IF('[1]Leakage Tree Data'!F155&lt;&gt;"",'[1]Leakage Tree Data'!F155,"")</f>
        <v>116769985.255859</v>
      </c>
      <c s="72">
        <f>IF('[1]Leakage Tree Data'!G155&lt;&gt;"",'[1]Leakage Tree Data'!G155,"")</f>
        <v>96.3673259959573</v>
      </c>
      <c s="72">
        <f>IF('[1]Leakage Tree Data'!H155&lt;&gt;"",'[1]Leakage Tree Data'!H155,"")</f>
        <v>61518209.9918823</v>
      </c>
      <c s="72" t="str">
        <f>IF('[1]Leakage Tree Data'!I155&lt;&gt;"",'[1]Leakage Tree Data'!I155,"")</f>
        <v>Military</v>
      </c>
      <c s="72">
        <f>IF('[1]Leakage Tree Data'!J155&lt;&gt;"",'[1]Leakage Tree Data'!J155,"")</f>
        <v>98.2430311885179</v>
      </c>
      <c s="72">
        <f>IF('[1]Leakage Tree Data'!K155&lt;&gt;"",'[1]Leakage Tree Data'!K155,"")</f>
        <v>1080855.76293945</v>
      </c>
      <c s="72">
        <f>IF('[1]Leakage Tree Data'!L155&lt;&gt;"",'[1]Leakage Tree Data'!L155,"")</f>
        <v>3768044.61592293</v>
      </c>
      <c s="72">
        <f>IF('[1]Leakage Tree Data'!M155&lt;&gt;"",'[1]Leakage Tree Data'!M155,"")</f>
        <v>25203447.742321</v>
      </c>
      <c s="72">
        <f>IF('[1]Leakage Tree Data'!N155&lt;&gt;"",'[1]Leakage Tree Data'!N155,"")</f>
        <v>3768044.61592293</v>
      </c>
      <c s="72">
        <f>IF('[1]Leakage Tree Data'!O155&lt;&gt;"",'[1]Leakage Tree Data'!O155,"")</f>
        <v>42.9967906752831</v>
      </c>
      <c s="72">
        <f>IF('[1]Leakage Tree Data'!P155&lt;&gt;"",'[1]Leakage Tree Data'!P155,"")</f>
        <v>1374392.89129248</v>
      </c>
      <c s="72">
        <f>IF('[1]Leakage Tree Data'!Q155&lt;&gt;"",'[1]Leakage Tree Data'!Q155,"")</f>
      </c>
      <c s="72">
        <f>IF('[1]Leakage Tree Data'!R155&lt;&gt;"",'[1]Leakage Tree Data'!R155,"")</f>
        <v>1017625.85098267</v>
      </c>
      <c s="72">
        <f>IF('[1]Leakage Tree Data'!S155&lt;&gt;"",'[1]Leakage Tree Data'!S155,"")</f>
        <v>-167155.785644531</v>
      </c>
      <c s="72">
        <f>IF('[1]Leakage Tree Data'!T155&lt;&gt;"",'[1]Leakage Tree Data'!T155,"")</f>
        <v>-0.169884137854113</v>
      </c>
      <c s="72">
        <f>IF('[1]Leakage Tree Data'!U155&lt;&gt;"",'[1]Leakage Tree Data'!U155,"")</f>
        <v>1184781.6366272</v>
      </c>
      <c s="72">
        <f>IF('[1]Leakage Tree Data'!V155&lt;&gt;"",'[1]Leakage Tree Data'!V155,"")</f>
        <v>0.169884137854112</v>
      </c>
      <c s="72">
        <f>IF('[1]Leakage Tree Data'!W155&lt;&gt;"",'[1]Leakage Tree Data'!W155,"")</f>
        <v>-1855949.2237854</v>
      </c>
      <c s="72">
        <f>IF('[1]Leakage Tree Data'!X155&lt;&gt;"",'[1]Leakage Tree Data'!X155,"")</f>
      </c>
      <c s="72">
        <f>IF('[1]Leakage Tree Data'!Y155&lt;&gt;"",'[1]Leakage Tree Data'!Y155,"")</f>
        <v>0.207192755998804</v>
      </c>
      <c s="72">
        <f>IF('[1]Leakage Tree Data'!Z155&lt;&gt;"",'[1]Leakage Tree Data'!Z155,"")</f>
        <v>-163915.116088867</v>
      </c>
      <c s="72">
        <f>IF('[1]Leakage Tree Data'!AA155&lt;&gt;"",'[1]Leakage Tree Data'!AA155,"")</f>
        <v>-747217.634382248</v>
      </c>
      <c s="72">
        <f>IF('[1]Leakage Tree Data'!AB155&lt;&gt;"",'[1]Leakage Tree Data'!AB155,"")</f>
        <v>-1451821.58564854</v>
      </c>
      <c s="72">
        <f>IF('[1]Leakage Tree Data'!AC155&lt;&gt;"",'[1]Leakage Tree Data'!AC155,"")</f>
        <v>-747217.634382248</v>
      </c>
      <c s="72">
        <f>IF('[1]Leakage Tree Data'!AD155&lt;&gt;"",'[1]Leakage Tree Data'!AD155,"")</f>
        <v>-4.92066059042629</v>
      </c>
      <c s="72">
        <f>IF('[1]Leakage Tree Data'!AE155&lt;&gt;"",'[1]Leakage Tree Data'!AE155,"")</f>
      </c>
      <c s="73">
        <f t="shared" si="38"/>
        <v>25203447.742321</v>
      </c>
      <c s="73">
        <f t="shared" si="39"/>
        <v>3768044.61592293</v>
      </c>
      <c s="73">
        <f t="shared" si="40"/>
        <v>-1451821.58564854</v>
      </c>
      <c s="73">
        <f t="shared" si="41"/>
        <v>-747217.634382248</v>
      </c>
      <c s="74">
        <f t="shared" si="32"/>
        <v>-0.00012268310650791</v>
      </c>
      <c s="74">
        <f t="shared" si="33"/>
        <v>1.94053394364686E-06</v>
      </c>
      <c s="69" t="str">
        <f t="shared" si="34"/>
        <v>Total US - Military</v>
      </c>
      <c s="69" t="str">
        <f t="shared" si="35"/>
        <v>Total US - Military</v>
      </c>
      <c s="77"/>
    </row>
    <row r="257" spans="1:141" s="92" customFormat="1" ht="15">
      <c r="A2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257,$AL$8:$AL$15,1,FALSE))=TRUE,IF(AND(CV257=CW257,CV257&lt;&gt;"",DI$111&lt;&gt;"",DK257&lt;&gt;""),IF(CW$101="Y",DK257-IF(ISERROR(VLOOKUP(CV257,$CA$113:$DK$300,37,FALSE))=TRUE,0,IF(VLOOKUP(CV257,$CA$113:$DK$300,37,FALSE)="",0,VLOOKUP(CV257,$CA$113:$DK$300,37,FALSE))),DK257-IF(AND(CW$102="Y",CV257=$CW$111),DI$111,0)),""),"")</f>
      </c>
      <c s="76">
        <f>IF(ISERROR(VLOOKUP(CV257,$AL$8:$AL$15,1,FALSE))=TRUE,IF(CB257&lt;&gt;"",IF(CB257&gt;0,IF(Z$4&lt;&gt;"",MIN(4,RANK(CB257,$CB$111:$CB$300)),RANK(CB257,$CB$111:$CB$300)),""),""),"")</f>
      </c>
      <c s="75">
        <f>IF(ISERROR(VLOOKUP(CV257,$AL$8:$AL$15,1,FALSE))=TRUE,IF(AND(ISERROR(FIND("NeighMkt",$CX$102))=FALSE,LEFT($CW$111,10)="ALL OUTLET",$CA257&lt;&gt;"",DK257&lt;&gt;""),"",IF(AND($CV257&lt;&gt;$CW257,$CW257=CD$110),$DK257,"")),"")</f>
      </c>
      <c s="76">
        <f>IF(ISERROR(VLOOKUP(CV257,$AL$8:$AL$15,1,FALSE))=TRUE,IF(CD257&lt;&gt;"",IF(CD257&gt;0,RANK(CD257,$CD$111:$CD$300),""),""),"")</f>
      </c>
      <c s="75">
        <f>IF(ISERROR(VLOOKUP(CV257,$AL$8:$AL$15,1,FALSE))=TRUE,IF(AND(ISERROR(FIND("NeighMkt",$CX$102))=FALSE,LEFT($CW$111,10)="ALL OUTLET",$CA257&lt;&gt;"",DK257&lt;&gt;""),"",IF(AND($CV257&lt;&gt;$CW257,$CW257=CF$110),$DK257,"")),"")</f>
      </c>
      <c s="76">
        <f>IF(ISERROR(VLOOKUP(CV257,$AL$8:$AL$15,1,FALSE))=TRUE,IF(CF257&lt;&gt;"",IF(CF257&gt;0,RANK(CF257,$CF$111:$CF$300),""),""),"")</f>
      </c>
      <c s="75">
        <f>IF(ISERROR(VLOOKUP(CV257,$AL$8:$AL$15,1,FALSE))=TRUE,IF(AND(ISERROR(FIND("NeighMkt",$CX$102))=FALSE,LEFT($CW$111,10)="ALL OUTLET",$CA257&lt;&gt;"",DK257&lt;&gt;""),"",IF(AND($CV257&lt;&gt;$CW257,$CW257=CH$110),$DK257,"")),"")</f>
      </c>
      <c s="76">
        <f>IF(ISERROR(VLOOKUP(CV257,$AL$8:$AL$15,1,FALSE))=TRUE,IF(CH257&lt;&gt;"",IF(CH257&gt;0,RANK(CH257,$CH$111:$CH$300),""),""),"")</f>
      </c>
      <c s="75">
        <f>IF(ISERROR(VLOOKUP(CV257,$AL$8:$AL$15,1,FALSE))=TRUE,IF(AND(ISERROR(FIND("NeighMkt",$CX$102))=FALSE,LEFT($CW$111,10)="ALL OUTLET",$CA257&lt;&gt;"",DK257&lt;&gt;""),"",IF($Z$4="",IF(AND($CV257&lt;&gt;$CW257,$CW257=CJ$110),$DK257,""),IF(AND($CV257&lt;&gt;$CW257,$CW257&lt;&gt;CD$110,$CW257&lt;&gt;CF$110,$CW257&lt;&gt;CH$110,$CW257&lt;&gt;$CV$111),$DK257,""))),"")</f>
        <v>3160446.36055183</v>
      </c>
      <c s="76">
        <f>IF(ISERROR(VLOOKUP(CV257,$AL$8:$AL$15,1,FALSE))=TRUE,IF(CJ257&lt;&gt;"",IF(CJ257&gt;0,RANK(CJ257,$CJ$111:$CJ$300),""),""),"")</f>
        <v>10</v>
      </c>
      <c s="75">
        <f>IF(ISERROR(VLOOKUP(CV257,$AL$8:$AL$15,1,FALSE))=TRUE,IF(AND(CV257=CW257,CV257&lt;&gt;"",DJ257&lt;&gt;""),IF(AND(ISERROR(FIND("NeighMkt",$CX$102))=FALSE,LEFT($CW$111,10)="ALL OUTLET"),DJ257-IF(ISERROR(VLOOKUP(CV257,$CA$113:$DK$300,36,FALSE))=TRUE,0,IF(VLOOKUP(CV257,$CA$113:$DK$300,36,FALSE)="",0,VLOOKUP(CV257,$CA$113:$DK$300,36,FALSE))),DJ257),""),"")</f>
      </c>
      <c s="76">
        <f>IF(ISERROR(VLOOKUP(CV257,$AL$8:$AL$15,1,FALSE))=TRUE,IF(CL257&lt;&gt;"",IF(CL257&gt;0,IF($Z$4&lt;&gt;"",MIN(4,RANK(CL257,$CL$111:$CL$300)),RANK(CL257,$CL$111:$CL$300)),""),""),"")</f>
      </c>
      <c s="75">
        <f>IF(ISERROR(VLOOKUP(CV257,$AL$8:$AL$15,1,FALSE))=TRUE,IF(AND(ISERROR(FIND("NeighMkt",$CX$102))=FALSE,LEFT($CW$111,10)="ALL OUTLET",$CA257&lt;&gt;"",DJ257&lt;&gt;""),"",IF(AND($CV257&lt;&gt;$CW257,$CW257=CN$110),$DJ257,"")),"")</f>
      </c>
      <c s="76">
        <f>IF(ISERROR(VLOOKUP(CV257,$AL$8:$AL$15,1,FALSE))=TRUE,IF(CN257&lt;&gt;"",IF(CN257&gt;0,RANK(CN257,$CN$111:$CN$300),""),""),"")</f>
      </c>
      <c s="75">
        <f>IF(ISERROR(VLOOKUP(CV257,$AL$8:$AL$15,1,FALSE))=TRUE,IF(AND(ISERROR(FIND("NeighMkt",$CX$102))=FALSE,LEFT($CW$111,10)="ALL OUTLET",$CA257&lt;&gt;"",DJ257&lt;&gt;""),"",IF(AND($CV257&lt;&gt;$CW257,$CW257=CP$110),$DJ257,"")),"")</f>
      </c>
      <c s="76">
        <f>IF(ISERROR(VLOOKUP(CV257,$AL$8:$AL$15,1,FALSE))=TRUE,IF(CP257&lt;&gt;"",IF(CP257&gt;0,RANK(CP257,$CP$111:$CP$300),""),""),"")</f>
      </c>
      <c s="75">
        <f>IF(ISERROR(VLOOKUP(CV257,$AL$8:$AL$15,1,FALSE))=TRUE,IF(AND(ISERROR(FIND("NeighMkt",$CX$102))=FALSE,LEFT($CW$111,10)="ALL OUTLET",$CA257&lt;&gt;"",DJ257&lt;&gt;""),"",IF(AND($CV257&lt;&gt;$CW257,$CW257=CR$110),$DJ257,"")),"")</f>
      </c>
      <c s="76">
        <f>IF(ISERROR(VLOOKUP(CV257,$AL$8:$AL$15,1,FALSE))=TRUE,IF(CR257&lt;&gt;"",IF(CR257&gt;0,RANK(CR257,$CR$111:$CR$300),""),""),"")</f>
      </c>
      <c s="75">
        <f>IF(ISERROR(VLOOKUP(CV257,$AL$8:$AL$15,1,FALSE))=TRUE,IF(AND(ISERROR(FIND("NeighMkt",$CX$102))=FALSE,LEFT($CW$111,10)="ALL OUTLET",$CA257&lt;&gt;"",DJ257&lt;&gt;""),"",IF($Z$4="",IF(AND($CV257&lt;&gt;$CW257,$CW257=CT$110),$DJ257,""),IF(AND($CV257&lt;&gt;$CW257,$CW257&lt;&gt;CN$110,$CW257&lt;&gt;CP$110,$CW257&lt;&gt;CR$110,$CW257&lt;&gt;$CV$111),$DJ257,""))),"")</f>
        <v>22995505.5122375</v>
      </c>
      <c s="76">
        <f>IF(ISERROR(VLOOKUP(CV257,$AL$8:$AL$15,1,FALSE))=TRUE,IF(CT257&lt;&gt;"",IF(CT257&gt;0,RANK(CT257,$CT$111:$CT$300),""),""),"")</f>
        <v>6</v>
      </c>
      <c s="65" t="str">
        <f t="shared" si="36"/>
        <v>DeCA Commissary</v>
      </c>
      <c s="65" t="str">
        <f t="shared" si="37"/>
        <v>Military</v>
      </c>
      <c s="72" t="str">
        <f>IF('[1]Leakage Tree Data'!A156&lt;&gt;"",'[1]Leakage Tree Data'!A156,"")</f>
        <v>Total US - DeCA Commissary</v>
      </c>
      <c s="72" t="str">
        <f>IF('[1]Leakage Tree Data'!B156&lt;&gt;"",'[1]Leakage Tree Data'!B156,"")</f>
        <v>Total US - Military</v>
      </c>
      <c s="72">
        <f>IF('[1]Leakage Tree Data'!C156&lt;&gt;"",'[1]Leakage Tree Data'!C156,"")</f>
        <v>121171760.292236</v>
      </c>
      <c s="72">
        <f>IF('[1]Leakage Tree Data'!D156&lt;&gt;"",'[1]Leakage Tree Data'!D156,"")</f>
        <v>3241989.70959473</v>
      </c>
      <c s="72">
        <f>IF('[1]Leakage Tree Data'!E156&lt;&gt;"",'[1]Leakage Tree Data'!E156,"")</f>
        <v>2.67553240274454</v>
      </c>
      <c s="72">
        <f>IF('[1]Leakage Tree Data'!F156&lt;&gt;"",'[1]Leakage Tree Data'!F156,"")</f>
        <v>117929770.582642</v>
      </c>
      <c s="72">
        <f>IF('[1]Leakage Tree Data'!G156&lt;&gt;"",'[1]Leakage Tree Data'!G156,"")</f>
        <v>97.3244675972555</v>
      </c>
      <c s="72">
        <f>IF('[1]Leakage Tree Data'!H156&lt;&gt;"",'[1]Leakage Tree Data'!H156,"")</f>
        <v>61518209.9918823</v>
      </c>
      <c s="72" t="str">
        <f>IF('[1]Leakage Tree Data'!I156&lt;&gt;"",'[1]Leakage Tree Data'!I156,"")</f>
        <v>Military</v>
      </c>
      <c s="72">
        <f>IF('[1]Leakage Tree Data'!J156&lt;&gt;"",'[1]Leakage Tree Data'!J156,"")</f>
        <v>98.4029293732189</v>
      </c>
      <c s="72">
        <f>IF('[1]Leakage Tree Data'!K156&lt;&gt;"",'[1]Leakage Tree Data'!K156,"")</f>
        <v>982489.261901855</v>
      </c>
      <c s="72">
        <f>IF('[1]Leakage Tree Data'!L156&lt;&gt;"",'[1]Leakage Tree Data'!L156,"")</f>
        <v>3160446.36055183</v>
      </c>
      <c s="72">
        <f>IF('[1]Leakage Tree Data'!M156&lt;&gt;"",'[1]Leakage Tree Data'!M156,"")</f>
        <v>22995505.5122375</v>
      </c>
      <c s="72">
        <f>IF('[1]Leakage Tree Data'!N156&lt;&gt;"",'[1]Leakage Tree Data'!N156,"")</f>
        <v>3160446.36055183</v>
      </c>
      <c s="72">
        <f>IF('[1]Leakage Tree Data'!O156&lt;&gt;"",'[1]Leakage Tree Data'!O156,"")</f>
        <v>52.6143570049866</v>
      </c>
      <c s="72">
        <f>IF('[1]Leakage Tree Data'!P156&lt;&gt;"",'[1]Leakage Tree Data'!P156,"")</f>
        <v>988645.675027707</v>
      </c>
      <c s="72">
        <f>IF('[1]Leakage Tree Data'!Q156&lt;&gt;"",'[1]Leakage Tree Data'!Q156,"")</f>
      </c>
      <c s="72">
        <f>IF('[1]Leakage Tree Data'!R156&lt;&gt;"",'[1]Leakage Tree Data'!R156,"")</f>
        <v>1017625.85098267</v>
      </c>
      <c s="72">
        <f>IF('[1]Leakage Tree Data'!S156&lt;&gt;"",'[1]Leakage Tree Data'!S156,"")</f>
        <v>-192988.888427734</v>
      </c>
      <c s="72">
        <f>IF('[1]Leakage Tree Data'!T156&lt;&gt;"",'[1]Leakage Tree Data'!T156,"")</f>
        <v>-0.183277753057386</v>
      </c>
      <c s="72">
        <f>IF('[1]Leakage Tree Data'!U156&lt;&gt;"",'[1]Leakage Tree Data'!U156,"")</f>
        <v>1210614.7394104</v>
      </c>
      <c s="72">
        <f>IF('[1]Leakage Tree Data'!V156&lt;&gt;"",'[1]Leakage Tree Data'!V156,"")</f>
        <v>0.183277753057396</v>
      </c>
      <c s="72">
        <f>IF('[1]Leakage Tree Data'!W156&lt;&gt;"",'[1]Leakage Tree Data'!W156,"")</f>
        <v>-1855949.2237854</v>
      </c>
      <c s="72">
        <f>IF('[1]Leakage Tree Data'!X156&lt;&gt;"",'[1]Leakage Tree Data'!X156,"")</f>
      </c>
      <c s="72">
        <f>IF('[1]Leakage Tree Data'!Y156&lt;&gt;"",'[1]Leakage Tree Data'!Y156,"")</f>
        <v>0.145742447758892</v>
      </c>
      <c s="72">
        <f>IF('[1]Leakage Tree Data'!Z156&lt;&gt;"",'[1]Leakage Tree Data'!Z156,"")</f>
        <v>-122003.870788574</v>
      </c>
      <c s="72">
        <f>IF('[1]Leakage Tree Data'!AA156&lt;&gt;"",'[1]Leakage Tree Data'!AA156,"")</f>
        <v>-198922.560651779</v>
      </c>
      <c s="72">
        <f>IF('[1]Leakage Tree Data'!AB156&lt;&gt;"",'[1]Leakage Tree Data'!AB156,"")</f>
        <v>-1159176.88612366</v>
      </c>
      <c s="72">
        <f>IF('[1]Leakage Tree Data'!AC156&lt;&gt;"",'[1]Leakage Tree Data'!AC156,"")</f>
        <v>-198922.560651779</v>
      </c>
      <c s="72">
        <f>IF('[1]Leakage Tree Data'!AD156&lt;&gt;"",'[1]Leakage Tree Data'!AD156,"")</f>
        <v>-3.38754295034757</v>
      </c>
      <c s="72">
        <f>IF('[1]Leakage Tree Data'!AE156&lt;&gt;"",'[1]Leakage Tree Data'!AE156,"")</f>
      </c>
      <c s="73">
        <f t="shared" si="38"/>
      </c>
      <c s="73">
        <f t="shared" si="39"/>
      </c>
      <c s="73">
        <f t="shared" si="40"/>
      </c>
      <c s="73">
        <f t="shared" si="41"/>
      </c>
      <c s="74">
        <f t="shared" si="32"/>
      </c>
      <c s="74">
        <f t="shared" si="33"/>
      </c>
      <c s="69" t="str">
        <f t="shared" si="34"/>
        <v>Total US - DeCA Commissary</v>
      </c>
      <c s="69" t="str">
        <f t="shared" si="35"/>
        <v>Total US - Military</v>
      </c>
      <c s="77"/>
    </row>
    <row r="258" spans="1:141" s="92" customFormat="1" ht="15">
      <c r="A2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258,$AL$8:$AL$15,1,FALSE))=TRUE,IF(AND(CV258=CW258,CV258&lt;&gt;"",DI$111&lt;&gt;"",DK258&lt;&gt;""),IF(CW$101="Y",DK258-IF(ISERROR(VLOOKUP(CV258,$CA$113:$DK$300,37,FALSE))=TRUE,0,IF(VLOOKUP(CV258,$CA$113:$DK$300,37,FALSE)="",0,VLOOKUP(CV258,$CA$113:$DK$300,37,FALSE))),DK258-IF(AND(CW$102="Y",CV258=$CW$111),DI$111,0)),""),"")</f>
      </c>
      <c s="76">
        <f>IF(ISERROR(VLOOKUP(CV258,$AL$8:$AL$15,1,FALSE))=TRUE,IF(CB258&lt;&gt;"",IF(CB258&gt;0,IF(Z$4&lt;&gt;"",MIN(4,RANK(CB258,$CB$111:$CB$300)),RANK(CB258,$CB$111:$CB$300)),""),""),"")</f>
      </c>
      <c s="75">
        <f>IF(ISERROR(VLOOKUP(CV258,$AL$8:$AL$15,1,FALSE))=TRUE,IF(AND(ISERROR(FIND("NeighMkt",$CX$102))=FALSE,LEFT($CW$111,10)="ALL OUTLET",$CA258&lt;&gt;"",DK258&lt;&gt;""),"",IF(AND($CV258&lt;&gt;$CW258,$CW258=CD$110),$DK258,"")),"")</f>
      </c>
      <c s="76">
        <f>IF(ISERROR(VLOOKUP(CV258,$AL$8:$AL$15,1,FALSE))=TRUE,IF(CD258&lt;&gt;"",IF(CD258&gt;0,RANK(CD258,$CD$111:$CD$300),""),""),"")</f>
      </c>
      <c s="75">
        <f>IF(ISERROR(VLOOKUP(CV258,$AL$8:$AL$15,1,FALSE))=TRUE,IF(AND(ISERROR(FIND("NeighMkt",$CX$102))=FALSE,LEFT($CW$111,10)="ALL OUTLET",$CA258&lt;&gt;"",DK258&lt;&gt;""),"",IF(AND($CV258&lt;&gt;$CW258,$CW258=CF$110),$DK258,"")),"")</f>
      </c>
      <c s="76">
        <f>IF(ISERROR(VLOOKUP(CV258,$AL$8:$AL$15,1,FALSE))=TRUE,IF(CF258&lt;&gt;"",IF(CF258&gt;0,RANK(CF258,$CF$111:$CF$300),""),""),"")</f>
      </c>
      <c s="75">
        <f>IF(ISERROR(VLOOKUP(CV258,$AL$8:$AL$15,1,FALSE))=TRUE,IF(AND(ISERROR(FIND("NeighMkt",$CX$102))=FALSE,LEFT($CW$111,10)="ALL OUTLET",$CA258&lt;&gt;"",DK258&lt;&gt;""),"",IF(AND($CV258&lt;&gt;$CW258,$CW258=CH$110),$DK258,"")),"")</f>
      </c>
      <c s="76">
        <f>IF(ISERROR(VLOOKUP(CV258,$AL$8:$AL$15,1,FALSE))=TRUE,IF(CH258&lt;&gt;"",IF(CH258&gt;0,RANK(CH258,$CH$111:$CH$300),""),""),"")</f>
      </c>
      <c s="75">
        <f>IF(ISERROR(VLOOKUP(CV258,$AL$8:$AL$15,1,FALSE))=TRUE,IF(AND(ISERROR(FIND("NeighMkt",$CX$102))=FALSE,LEFT($CW$111,10)="ALL OUTLET",$CA258&lt;&gt;"",DK258&lt;&gt;""),"",IF($Z$4="",IF(AND($CV258&lt;&gt;$CW258,$CW258=CJ$110),$DK258,""),IF(AND($CV258&lt;&gt;$CW258,$CW258&lt;&gt;CD$110,$CW258&lt;&gt;CF$110,$CW258&lt;&gt;CH$110,$CW258&lt;&gt;$CV$111),$DK258,""))),"")</f>
      </c>
      <c s="76">
        <f>IF(ISERROR(VLOOKUP(CV258,$AL$8:$AL$15,1,FALSE))=TRUE,IF(CJ258&lt;&gt;"",IF(CJ258&gt;0,RANK(CJ258,$CJ$111:$CJ$300),""),""),"")</f>
      </c>
      <c s="75">
        <f>IF(ISERROR(VLOOKUP(CV258,$AL$8:$AL$15,1,FALSE))=TRUE,IF(AND(CV258=CW258,CV258&lt;&gt;"",DJ258&lt;&gt;""),IF(AND(ISERROR(FIND("NeighMkt",$CX$102))=FALSE,LEFT($CW$111,10)="ALL OUTLET"),DJ258-IF(ISERROR(VLOOKUP(CV258,$CA$113:$DK$300,36,FALSE))=TRUE,0,IF(VLOOKUP(CV258,$CA$113:$DK$300,36,FALSE)="",0,VLOOKUP(CV258,$CA$113:$DK$300,36,FALSE))),DJ258),""),"")</f>
        <v>656630.931091309</v>
      </c>
      <c s="76">
        <f>IF(ISERROR(VLOOKUP(CV258,$AL$8:$AL$15,1,FALSE))=TRUE,IF(CL258&lt;&gt;"",IF(CL258&gt;0,IF($Z$4&lt;&gt;"",MIN(4,RANK(CL258,$CL$111:$CL$300)),RANK(CL258,$CL$111:$CL$300)),""),""),"")</f>
        <v>4</v>
      </c>
      <c s="75">
        <f>IF(ISERROR(VLOOKUP(CV258,$AL$8:$AL$15,1,FALSE))=TRUE,IF(AND(ISERROR(FIND("NeighMkt",$CX$102))=FALSE,LEFT($CW$111,10)="ALL OUTLET",$CA258&lt;&gt;"",DJ258&lt;&gt;""),"",IF(AND($CV258&lt;&gt;$CW258,$CW258=CN$110),$DJ258,"")),"")</f>
      </c>
      <c s="76">
        <f>IF(ISERROR(VLOOKUP(CV258,$AL$8:$AL$15,1,FALSE))=TRUE,IF(CN258&lt;&gt;"",IF(CN258&gt;0,RANK(CN258,$CN$111:$CN$300),""),""),"")</f>
      </c>
      <c s="75">
        <f>IF(ISERROR(VLOOKUP(CV258,$AL$8:$AL$15,1,FALSE))=TRUE,IF(AND(ISERROR(FIND("NeighMkt",$CX$102))=FALSE,LEFT($CW$111,10)="ALL OUTLET",$CA258&lt;&gt;"",DJ258&lt;&gt;""),"",IF(AND($CV258&lt;&gt;$CW258,$CW258=CP$110),$DJ258,"")),"")</f>
      </c>
      <c s="76">
        <f>IF(ISERROR(VLOOKUP(CV258,$AL$8:$AL$15,1,FALSE))=TRUE,IF(CP258&lt;&gt;"",IF(CP258&gt;0,RANK(CP258,$CP$111:$CP$300),""),""),"")</f>
      </c>
      <c s="75">
        <f>IF(ISERROR(VLOOKUP(CV258,$AL$8:$AL$15,1,FALSE))=TRUE,IF(AND(ISERROR(FIND("NeighMkt",$CX$102))=FALSE,LEFT($CW$111,10)="ALL OUTLET",$CA258&lt;&gt;"",DJ258&lt;&gt;""),"",IF(AND($CV258&lt;&gt;$CW258,$CW258=CR$110),$DJ258,"")),"")</f>
      </c>
      <c s="76">
        <f>IF(ISERROR(VLOOKUP(CV258,$AL$8:$AL$15,1,FALSE))=TRUE,IF(CR258&lt;&gt;"",IF(CR258&gt;0,RANK(CR258,$CR$111:$CR$300),""),""),"")</f>
      </c>
      <c s="75">
        <f>IF(ISERROR(VLOOKUP(CV258,$AL$8:$AL$15,1,FALSE))=TRUE,IF(AND(ISERROR(FIND("NeighMkt",$CX$102))=FALSE,LEFT($CW$111,10)="ALL OUTLET",$CA258&lt;&gt;"",DJ258&lt;&gt;""),"",IF($Z$4="",IF(AND($CV258&lt;&gt;$CW258,$CW258=CT$110),$DJ258,""),IF(AND($CV258&lt;&gt;$CW258,$CW258&lt;&gt;CN$110,$CW258&lt;&gt;CP$110,$CW258&lt;&gt;CR$110,$CW258&lt;&gt;$CV$111),$DJ258,""))),"")</f>
      </c>
      <c s="76">
        <f>IF(ISERROR(VLOOKUP(CV258,$AL$8:$AL$15,1,FALSE))=TRUE,IF(CT258&lt;&gt;"",IF(CT258&gt;0,RANK(CT258,$CT$111:$CT$300),""),""),"")</f>
      </c>
      <c s="65" t="str">
        <f t="shared" si="36"/>
        <v>Pet</v>
      </c>
      <c s="65" t="str">
        <f t="shared" si="37"/>
        <v>Pet</v>
      </c>
      <c s="72" t="str">
        <f>IF('[1]Leakage Tree Data'!A157&lt;&gt;"",'[1]Leakage Tree Data'!A157,"")</f>
        <v>Total US - Pet</v>
      </c>
      <c s="72" t="str">
        <f>IF('[1]Leakage Tree Data'!B157&lt;&gt;"",'[1]Leakage Tree Data'!B157,"")</f>
        <v>Total US - Pet</v>
      </c>
      <c s="72">
        <f>IF('[1]Leakage Tree Data'!C157&lt;&gt;"",'[1]Leakage Tree Data'!C157,"")</f>
        <v>121171760.292236</v>
      </c>
      <c s="72">
        <f>IF('[1]Leakage Tree Data'!D157&lt;&gt;"",'[1]Leakage Tree Data'!D157,"")</f>
        <v>43753123.5364075</v>
      </c>
      <c s="72">
        <f>IF('[1]Leakage Tree Data'!E157&lt;&gt;"",'[1]Leakage Tree Data'!E157,"")</f>
        <v>36.1083501889267</v>
      </c>
      <c s="72">
        <f>IF('[1]Leakage Tree Data'!F157&lt;&gt;"",'[1]Leakage Tree Data'!F157,"")</f>
        <v>77418636.7558289</v>
      </c>
      <c s="72">
        <f>IF('[1]Leakage Tree Data'!G157&lt;&gt;"",'[1]Leakage Tree Data'!G157,"")</f>
        <v>63.8916498110733</v>
      </c>
      <c s="72">
        <f>IF('[1]Leakage Tree Data'!H157&lt;&gt;"",'[1]Leakage Tree Data'!H157,"")</f>
        <v>61518209.9918823</v>
      </c>
      <c s="72" t="str">
        <f>IF('[1]Leakage Tree Data'!I157&lt;&gt;"",'[1]Leakage Tree Data'!I157,"")</f>
        <v>Pet</v>
      </c>
      <c s="72">
        <f>IF('[1]Leakage Tree Data'!J157&lt;&gt;"",'[1]Leakage Tree Data'!J157,"")</f>
        <v>99.8105481731409</v>
      </c>
      <c s="72">
        <f>IF('[1]Leakage Tree Data'!K157&lt;&gt;"",'[1]Leakage Tree Data'!K157,"")</f>
        <v>116547.372680664</v>
      </c>
      <c s="72">
        <f>IF('[1]Leakage Tree Data'!L157&lt;&gt;"",'[1]Leakage Tree Data'!L157,"")</f>
      </c>
      <c s="72">
        <f>IF('[1]Leakage Tree Data'!M157&lt;&gt;"",'[1]Leakage Tree Data'!M157,"")</f>
        <v>656630.931091309</v>
      </c>
      <c s="72">
        <f>IF('[1]Leakage Tree Data'!N157&lt;&gt;"",'[1]Leakage Tree Data'!N157,"")</f>
      </c>
      <c s="72">
        <f>IF('[1]Leakage Tree Data'!O157&lt;&gt;"",'[1]Leakage Tree Data'!O157,"")</f>
        <v>0.554462341665702</v>
      </c>
      <c s="72">
        <f>IF('[1]Leakage Tree Data'!P157&lt;&gt;"",'[1]Leakage Tree Data'!P157,"")</f>
        <v>3912396.11957683</v>
      </c>
      <c s="72">
        <f>IF('[1]Leakage Tree Data'!Q157&lt;&gt;"",'[1]Leakage Tree Data'!Q157,"")</f>
      </c>
      <c s="72">
        <f>IF('[1]Leakage Tree Data'!R157&lt;&gt;"",'[1]Leakage Tree Data'!R157,"")</f>
        <v>1017625.85098267</v>
      </c>
      <c s="72">
        <f>IF('[1]Leakage Tree Data'!S157&lt;&gt;"",'[1]Leakage Tree Data'!S157,"")</f>
        <v>-1170194.5763855</v>
      </c>
      <c s="72">
        <f>IF('[1]Leakage Tree Data'!T157&lt;&gt;"",'[1]Leakage Tree Data'!T157,"")</f>
        <v>-1.27972498775991</v>
      </c>
      <c s="72">
        <f>IF('[1]Leakage Tree Data'!U157&lt;&gt;"",'[1]Leakage Tree Data'!U157,"")</f>
        <v>2187820.42736816</v>
      </c>
      <c s="72">
        <f>IF('[1]Leakage Tree Data'!V157&lt;&gt;"",'[1]Leakage Tree Data'!V157,"")</f>
        <v>1.27972498775991</v>
      </c>
      <c s="72">
        <f>IF('[1]Leakage Tree Data'!W157&lt;&gt;"",'[1]Leakage Tree Data'!W157,"")</f>
        <v>-1855949.2237854</v>
      </c>
      <c s="72">
        <f>IF('[1]Leakage Tree Data'!X157&lt;&gt;"",'[1]Leakage Tree Data'!X157,"")</f>
      </c>
      <c s="72">
        <f>IF('[1]Leakage Tree Data'!Y157&lt;&gt;"",'[1]Leakage Tree Data'!Y157,"")</f>
        <v>0.0238162996008811</v>
      </c>
      <c s="72">
        <f>IF('[1]Leakage Tree Data'!Z157&lt;&gt;"",'[1]Leakage Tree Data'!Z157,"")</f>
        <v>-18609.5093383789</v>
      </c>
      <c s="72">
        <f>IF('[1]Leakage Tree Data'!AA157&lt;&gt;"",'[1]Leakage Tree Data'!AA157,"")</f>
      </c>
      <c s="72">
        <f>IF('[1]Leakage Tree Data'!AB157&lt;&gt;"",'[1]Leakage Tree Data'!AB157,"")</f>
        <v>-482147.950637817</v>
      </c>
      <c s="72">
        <f>IF('[1]Leakage Tree Data'!AC157&lt;&gt;"",'[1]Leakage Tree Data'!AC157,"")</f>
      </c>
      <c s="72">
        <f>IF('[1]Leakage Tree Data'!AD157&lt;&gt;"",'[1]Leakage Tree Data'!AD157,"")</f>
        <v>-0.0394399245567916</v>
      </c>
      <c s="72">
        <f>IF('[1]Leakage Tree Data'!AE157&lt;&gt;"",'[1]Leakage Tree Data'!AE157,"")</f>
      </c>
      <c s="73">
        <f t="shared" si="38"/>
        <v>656630.931091309</v>
      </c>
      <c s="73">
        <f t="shared" si="39"/>
      </c>
      <c s="73">
        <f t="shared" si="40"/>
        <v>-482147.950637817</v>
      </c>
      <c s="73">
        <f t="shared" si="41"/>
      </c>
      <c s="74">
        <f t="shared" si="32"/>
        <v>-0.000237936631946165</v>
      </c>
      <c s="74">
        <f t="shared" si="33"/>
      </c>
      <c s="69" t="str">
        <f t="shared" si="34"/>
        <v>Total US - Pet</v>
      </c>
      <c s="69" t="str">
        <f t="shared" si="35"/>
        <v>Total US - Pet</v>
      </c>
      <c s="77"/>
    </row>
    <row r="259" spans="1:141" s="92" customFormat="1" ht="15">
      <c r="A2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f>IF(ISERROR(VLOOKUP(CV259,$AL$8:$AL$15,1,FALSE))=TRUE,IF(AND(CV259=CW259,CV259&lt;&gt;"",DI$111&lt;&gt;"",DK259&lt;&gt;""),IF(CW$101="Y",DK259-IF(ISERROR(VLOOKUP(CV259,$CA$113:$DK$300,37,FALSE))=TRUE,0,IF(VLOOKUP(CV259,$CA$113:$DK$300,37,FALSE)="",0,VLOOKUP(CV259,$CA$113:$DK$300,37,FALSE))),DK259-IF(AND(CW$102="Y",CV259=$CW$111),DI$111,0)),""),"")</f>
      </c>
      <c s="76">
        <f>IF(ISERROR(VLOOKUP(CV259,$AL$8:$AL$15,1,FALSE))=TRUE,IF(CB259&lt;&gt;"",IF(CB259&gt;0,IF(Z$4&lt;&gt;"",MIN(4,RANK(CB259,$CB$111:$CB$300)),RANK(CB259,$CB$111:$CB$300)),""),""),"")</f>
      </c>
      <c s="75">
        <f>IF(ISERROR(VLOOKUP(CV259,$AL$8:$AL$15,1,FALSE))=TRUE,IF(AND(ISERROR(FIND("NeighMkt",$CX$102))=FALSE,LEFT($CW$111,10)="ALL OUTLET",$CA259&lt;&gt;"",DK259&lt;&gt;""),"",IF(AND($CV259&lt;&gt;$CW259,$CW259=CD$110),$DK259,"")),"")</f>
      </c>
      <c s="76">
        <f>IF(ISERROR(VLOOKUP(CV259,$AL$8:$AL$15,1,FALSE))=TRUE,IF(CD259&lt;&gt;"",IF(CD259&gt;0,RANK(CD259,$CD$111:$CD$300),""),""),"")</f>
      </c>
      <c s="75">
        <f>IF(ISERROR(VLOOKUP(CV259,$AL$8:$AL$15,1,FALSE))=TRUE,IF(AND(ISERROR(FIND("NeighMkt",$CX$102))=FALSE,LEFT($CW$111,10)="ALL OUTLET",$CA259&lt;&gt;"",DK259&lt;&gt;""),"",IF(AND($CV259&lt;&gt;$CW259,$CW259=CF$110),$DK259,"")),"")</f>
      </c>
      <c s="76">
        <f>IF(ISERROR(VLOOKUP(CV259,$AL$8:$AL$15,1,FALSE))=TRUE,IF(CF259&lt;&gt;"",IF(CF259&gt;0,RANK(CF259,$CF$111:$CF$300),""),""),"")</f>
      </c>
      <c s="75">
        <f>IF(ISERROR(VLOOKUP(CV259,$AL$8:$AL$15,1,FALSE))=TRUE,IF(AND(ISERROR(FIND("NeighMkt",$CX$102))=FALSE,LEFT($CW$111,10)="ALL OUTLET",$CA259&lt;&gt;"",DK259&lt;&gt;""),"",IF(AND($CV259&lt;&gt;$CW259,$CW259=CH$110),$DK259,"")),"")</f>
      </c>
      <c s="76">
        <f>IF(ISERROR(VLOOKUP(CV259,$AL$8:$AL$15,1,FALSE))=TRUE,IF(CH259&lt;&gt;"",IF(CH259&gt;0,RANK(CH259,$CH$111:$CH$300),""),""),"")</f>
      </c>
      <c s="75">
        <f>IF(ISERROR(VLOOKUP(CV259,$AL$8:$AL$15,1,FALSE))=TRUE,IF(AND(ISERROR(FIND("NeighMkt",$CX$102))=FALSE,LEFT($CW$111,10)="ALL OUTLET",$CA259&lt;&gt;"",DK259&lt;&gt;""),"",IF($Z$4="",IF(AND($CV259&lt;&gt;$CW259,$CW259=CJ$110),$DK259,""),IF(AND($CV259&lt;&gt;$CW259,$CW259&lt;&gt;CD$110,$CW259&lt;&gt;CF$110,$CW259&lt;&gt;CH$110,$CW259&lt;&gt;$CV$111),$DK259,""))),"")</f>
      </c>
      <c s="76">
        <f>IF(ISERROR(VLOOKUP(CV259,$AL$8:$AL$15,1,FALSE))=TRUE,IF(CJ259&lt;&gt;"",IF(CJ259&gt;0,RANK(CJ259,$CJ$111:$CJ$300),""),""),"")</f>
      </c>
      <c s="75">
        <f>IF(ISERROR(VLOOKUP(CV259,$AL$8:$AL$15,1,FALSE))=TRUE,IF(AND(CV259=CW259,CV259&lt;&gt;"",DJ259&lt;&gt;""),IF(AND(ISERROR(FIND("NeighMkt",$CX$102))=FALSE,LEFT($CW$111,10)="ALL OUTLET"),DJ259-IF(ISERROR(VLOOKUP(CV259,$CA$113:$DK$300,36,FALSE))=TRUE,0,IF(VLOOKUP(CV259,$CA$113:$DK$300,36,FALSE)="",0,VLOOKUP(CV259,$CA$113:$DK$300,36,FALSE))),DJ259),""),"")</f>
      </c>
      <c s="76">
        <f>IF(ISERROR(VLOOKUP(CV259,$AL$8:$AL$15,1,FALSE))=TRUE,IF(CL259&lt;&gt;"",IF(CL259&gt;0,IF($Z$4&lt;&gt;"",MIN(4,RANK(CL259,$CL$111:$CL$300)),RANK(CL259,$CL$111:$CL$300)),""),""),"")</f>
      </c>
      <c s="75">
        <f>IF(ISERROR(VLOOKUP(CV259,$AL$8:$AL$15,1,FALSE))=TRUE,IF(AND(ISERROR(FIND("NeighMkt",$CX$102))=FALSE,LEFT($CW$111,10)="ALL OUTLET",$CA259&lt;&gt;"",DJ259&lt;&gt;""),"",IF(AND($CV259&lt;&gt;$CW259,$CW259=CN$110),$DJ259,"")),"")</f>
      </c>
      <c s="76">
        <f>IF(ISERROR(VLOOKUP(CV259,$AL$8:$AL$15,1,FALSE))=TRUE,IF(CN259&lt;&gt;"",IF(CN259&gt;0,RANK(CN259,$CN$111:$CN$300),""),""),"")</f>
      </c>
      <c s="75">
        <f>IF(ISERROR(VLOOKUP(CV259,$AL$8:$AL$15,1,FALSE))=TRUE,IF(AND(ISERROR(FIND("NeighMkt",$CX$102))=FALSE,LEFT($CW$111,10)="ALL OUTLET",$CA259&lt;&gt;"",DJ259&lt;&gt;""),"",IF(AND($CV259&lt;&gt;$CW259,$CW259=CP$110),$DJ259,"")),"")</f>
      </c>
      <c s="76">
        <f>IF(ISERROR(VLOOKUP(CV259,$AL$8:$AL$15,1,FALSE))=TRUE,IF(CP259&lt;&gt;"",IF(CP259&gt;0,RANK(CP259,$CP$111:$CP$300),""),""),"")</f>
      </c>
      <c s="75">
        <f>IF(ISERROR(VLOOKUP(CV259,$AL$8:$AL$15,1,FALSE))=TRUE,IF(AND(ISERROR(FIND("NeighMkt",$CX$102))=FALSE,LEFT($CW$111,10)="ALL OUTLET",$CA259&lt;&gt;"",DJ259&lt;&gt;""),"",IF(AND($CV259&lt;&gt;$CW259,$CW259=CR$110),$DJ259,"")),"")</f>
      </c>
      <c s="76">
        <f>IF(ISERROR(VLOOKUP(CV259,$AL$8:$AL$15,1,FALSE))=TRUE,IF(CR259&lt;&gt;"",IF(CR259&gt;0,RANK(CR259,$CR$111:$CR$300),""),""),"")</f>
      </c>
      <c s="75">
        <f>IF(ISERROR(VLOOKUP(CV259,$AL$8:$AL$15,1,FALSE))=TRUE,IF(AND(ISERROR(FIND("NeighMkt",$CX$102))=FALSE,LEFT($CW$111,10)="ALL OUTLET",$CA259&lt;&gt;"",DJ259&lt;&gt;""),"",IF($Z$4="",IF(AND($CV259&lt;&gt;$CW259,$CW259=CT$110),$DJ259,""),IF(AND($CV259&lt;&gt;$CW259,$CW259&lt;&gt;CN$110,$CW259&lt;&gt;CP$110,$CW259&lt;&gt;CR$110,$CW259&lt;&gt;$CV$111),$DJ259,""))),"")</f>
      </c>
      <c s="76">
        <f>IF(ISERROR(VLOOKUP(CV259,$AL$8:$AL$15,1,FALSE))=TRUE,IF(CT259&lt;&gt;"",IF(CT259&gt;0,RANK(CT259,$CT$111:$CT$300),""),""),"")</f>
      </c>
      <c s="65" t="str">
        <f t="shared" si="36"/>
        <v>Pet Supermarket</v>
      </c>
      <c s="65" t="str">
        <f t="shared" si="37"/>
        <v>Pet</v>
      </c>
      <c s="72" t="str">
        <f>IF('[1]Leakage Tree Data'!A158&lt;&gt;"",'[1]Leakage Tree Data'!A158,"")</f>
        <v>Total US - Pet Supermarket</v>
      </c>
      <c s="72" t="str">
        <f>IF('[1]Leakage Tree Data'!B158&lt;&gt;"",'[1]Leakage Tree Data'!B158,"")</f>
        <v>Total US - Pet</v>
      </c>
      <c s="72">
        <f>IF('[1]Leakage Tree Data'!C158&lt;&gt;"",'[1]Leakage Tree Data'!C158,"")</f>
        <v>121171760.292236</v>
      </c>
      <c s="72">
        <f>IF('[1]Leakage Tree Data'!D158&lt;&gt;"",'[1]Leakage Tree Data'!D158,"")</f>
        <v>1458707.23352051</v>
      </c>
      <c s="72">
        <f>IF('[1]Leakage Tree Data'!E158&lt;&gt;"",'[1]Leakage Tree Data'!E158,"")</f>
        <v>1.20383431750308</v>
      </c>
      <c s="72">
        <f>IF('[1]Leakage Tree Data'!F158&lt;&gt;"",'[1]Leakage Tree Data'!F158,"")</f>
        <v>119713053.058716</v>
      </c>
      <c s="72">
        <f>IF('[1]Leakage Tree Data'!G158&lt;&gt;"",'[1]Leakage Tree Data'!G158,"")</f>
        <v>98.7961656824969</v>
      </c>
      <c s="72">
        <f>IF('[1]Leakage Tree Data'!H158&lt;&gt;"",'[1]Leakage Tree Data'!H158,"")</f>
        <v>61518209.9918823</v>
      </c>
      <c s="72" t="str">
        <f>IF('[1]Leakage Tree Data'!I158&lt;&gt;"",'[1]Leakage Tree Data'!I158,"")</f>
        <v>Pet</v>
      </c>
      <c s="72">
        <f>IF('[1]Leakage Tree Data'!J158&lt;&gt;"",'[1]Leakage Tree Data'!J158,"")</f>
      </c>
      <c s="72">
        <f>IF('[1]Leakage Tree Data'!K158&lt;&gt;"",'[1]Leakage Tree Data'!K158,"")</f>
      </c>
      <c s="72">
        <f>IF('[1]Leakage Tree Data'!L158&lt;&gt;"",'[1]Leakage Tree Data'!L158,"")</f>
      </c>
      <c s="72">
        <f>IF('[1]Leakage Tree Data'!M158&lt;&gt;"",'[1]Leakage Tree Data'!M158,"")</f>
      </c>
      <c s="72">
        <f>IF('[1]Leakage Tree Data'!N158&lt;&gt;"",'[1]Leakage Tree Data'!N158,"")</f>
      </c>
      <c s="72">
        <f>IF('[1]Leakage Tree Data'!O158&lt;&gt;"",'[1]Leakage Tree Data'!O158,"")</f>
      </c>
      <c s="72">
        <f>IF('[1]Leakage Tree Data'!P158&lt;&gt;"",'[1]Leakage Tree Data'!P158,"")</f>
      </c>
      <c s="72">
        <f>IF('[1]Leakage Tree Data'!Q158&lt;&gt;"",'[1]Leakage Tree Data'!Q158,"")</f>
      </c>
      <c s="72">
        <f>IF('[1]Leakage Tree Data'!R158&lt;&gt;"",'[1]Leakage Tree Data'!R158,"")</f>
        <v>1017625.85098267</v>
      </c>
      <c s="72">
        <f>IF('[1]Leakage Tree Data'!S158&lt;&gt;"",'[1]Leakage Tree Data'!S158,"")</f>
        <v>61548.1950683594</v>
      </c>
      <c s="72">
        <f>IF('[1]Leakage Tree Data'!T158&lt;&gt;"",'[1]Leakage Tree Data'!T158,"")</f>
        <v>0.0410286887585629</v>
      </c>
      <c s="72">
        <f>IF('[1]Leakage Tree Data'!U158&lt;&gt;"",'[1]Leakage Tree Data'!U158,"")</f>
        <v>956077.655914307</v>
      </c>
      <c s="72">
        <f>IF('[1]Leakage Tree Data'!V158&lt;&gt;"",'[1]Leakage Tree Data'!V158,"")</f>
        <v>-0.0410286887585727</v>
      </c>
      <c s="72">
        <f>IF('[1]Leakage Tree Data'!W158&lt;&gt;"",'[1]Leakage Tree Data'!W158,"")</f>
        <v>-1855949.2237854</v>
      </c>
      <c s="72">
        <f>IF('[1]Leakage Tree Data'!X158&lt;&gt;"",'[1]Leakage Tree Data'!X158,"")</f>
      </c>
      <c s="72">
        <f>IF('[1]Leakage Tree Data'!Y158&lt;&gt;"",'[1]Leakage Tree Data'!Y158,"")</f>
      </c>
      <c s="72">
        <f>IF('[1]Leakage Tree Data'!Z158&lt;&gt;"",'[1]Leakage Tree Data'!Z158,"")</f>
      </c>
      <c s="72">
        <f>IF('[1]Leakage Tree Data'!AA158&lt;&gt;"",'[1]Leakage Tree Data'!AA158,"")</f>
      </c>
      <c s="72">
        <f>IF('[1]Leakage Tree Data'!AB158&lt;&gt;"",'[1]Leakage Tree Data'!AB158,"")</f>
      </c>
      <c s="72">
        <f>IF('[1]Leakage Tree Data'!AC158&lt;&gt;"",'[1]Leakage Tree Data'!AC158,"")</f>
      </c>
      <c s="72">
        <f>IF('[1]Leakage Tree Data'!AD158&lt;&gt;"",'[1]Leakage Tree Data'!AD158,"")</f>
      </c>
      <c s="72">
        <f>IF('[1]Leakage Tree Data'!AE158&lt;&gt;"",'[1]Leakage Tree Data'!AE158,"")</f>
      </c>
      <c s="73">
        <f t="shared" si="38"/>
      </c>
      <c s="73">
        <f t="shared" si="39"/>
      </c>
      <c s="73">
        <f t="shared" si="40"/>
      </c>
      <c s="73">
        <f t="shared" si="41"/>
      </c>
      <c s="74">
        <f t="shared" si="32"/>
      </c>
      <c s="74">
        <f t="shared" si="33"/>
      </c>
      <c s="69" t="str">
        <f t="shared" si="34"/>
        <v>Total US - Pet Supermarket</v>
      </c>
      <c s="69" t="str">
        <f t="shared" si="35"/>
        <v>Total US - Pet</v>
      </c>
      <c s="77"/>
    </row>
    <row r="260" spans="1:141" ht="15">
      <c r="A26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IF(ISERROR(FIND("Walmart",CV260))=FALSE,CW260,"")</f>
      </c>
      <c s="75">
        <f>IF(ISERROR(VLOOKUP(CV260,$AL$8:$AL$15,1,FALSE))=TRUE,IF(AND(CV260=CW260,CV260&lt;&gt;"",DI$111&lt;&gt;"",DK260&lt;&gt;""),IF(CW$101="Y",DK260-IF(ISERROR(VLOOKUP(CV260,$CA$113:$DK$300,37,FALSE))=TRUE,0,IF(VLOOKUP(CV260,$CA$113:$DK$300,37,FALSE)="",0,VLOOKUP(CV260,$CA$113:$DK$300,37,FALSE))),DK260-IF(AND(CW$102="Y",CV260=$CW$111),DI$111,0)),""),"")</f>
      </c>
      <c s="76">
        <f>IF(ISERROR(VLOOKUP(CV260,$AL$8:$AL$15,1,FALSE))=TRUE,IF(CB260&lt;&gt;"",IF(CB260&gt;0,IF(Z$4&lt;&gt;"",MIN(4,RANK(CB260,$CB$111:$CB$300)),RANK(CB260,$CB$111:$CB$300)),""),""),"")</f>
      </c>
      <c s="75">
        <f>IF(ISERROR(VLOOKUP(CV260,$AL$8:$AL$15,1,FALSE))=TRUE,IF(AND(ISERROR(FIND("NeighMkt",$CX$102))=FALSE,LEFT($CW$111,10)="ALL OUTLET",$CA260&lt;&gt;"",DK260&lt;&gt;""),"",IF(AND($CV260&lt;&gt;$CW260,$CW260=CD$110),$DK260,"")),"")</f>
      </c>
      <c s="76">
        <f>IF(ISERROR(VLOOKUP(CV260,$AL$8:$AL$15,1,FALSE))=TRUE,IF(CD260&lt;&gt;"",IF(CD260&gt;0,RANK(CD260,$CD$111:$CD$300),""),""),"")</f>
      </c>
      <c s="75">
        <f>IF(ISERROR(VLOOKUP(CV260,$AL$8:$AL$15,1,FALSE))=TRUE,IF(AND(ISERROR(FIND("NeighMkt",$CX$102))=FALSE,LEFT($CW$111,10)="ALL OUTLET",$CA260&lt;&gt;"",DK260&lt;&gt;""),"",IF(AND($CV260&lt;&gt;$CW260,$CW260=CF$110),$DK260,"")),"")</f>
      </c>
      <c s="76">
        <f>IF(ISERROR(VLOOKUP(CV260,$AL$8:$AL$15,1,FALSE))=TRUE,IF(CF260&lt;&gt;"",IF(CF260&gt;0,RANK(CF260,$CF$111:$CF$300),""),""),"")</f>
      </c>
      <c s="75">
        <f>IF(ISERROR(VLOOKUP(CV260,$AL$8:$AL$15,1,FALSE))=TRUE,IF(AND(ISERROR(FIND("NeighMkt",$CX$102))=FALSE,LEFT($CW$111,10)="ALL OUTLET",$CA260&lt;&gt;"",DK260&lt;&gt;""),"",IF(AND($CV260&lt;&gt;$CW260,$CW260=CH$110),$DK260,"")),"")</f>
      </c>
      <c s="76">
        <f>IF(ISERROR(VLOOKUP(CV260,$AL$8:$AL$15,1,FALSE))=TRUE,IF(CH260&lt;&gt;"",IF(CH260&gt;0,RANK(CH260,$CH$111:$CH$300),""),""),"")</f>
      </c>
      <c s="75">
        <f>IF(ISERROR(VLOOKUP(CV260,$AL$8:$AL$15,1,FALSE))=TRUE,IF(AND(ISERROR(FIND("NeighMkt",$CX$102))=FALSE,LEFT($CW$111,10)="ALL OUTLET",$CA260&lt;&gt;"",DK260&lt;&gt;""),"",IF($Z$4="",IF(AND($CV260&lt;&gt;$CW260,$CW260=CJ$110),$DK260,""),IF(AND($CV260&lt;&gt;$CW260,$CW260&lt;&gt;CD$110,$CW260&lt;&gt;CF$110,$CW260&lt;&gt;CH$110,$CW260&lt;&gt;$CV$111),$DK260,""))),"")</f>
      </c>
      <c s="76">
        <f>IF(ISERROR(VLOOKUP(CV260,$AL$8:$AL$15,1,FALSE))=TRUE,IF(CJ260&lt;&gt;"",IF(CJ260&gt;0,RANK(CJ260,$CJ$111:$CJ$300),""),""),"")</f>
      </c>
      <c s="75">
        <f>IF(ISERROR(VLOOKUP(CV260,$AL$8:$AL$15,1,FALSE))=TRUE,IF(AND(CV260=CW260,CV260&lt;&gt;"",DJ260&lt;&gt;""),IF(AND(ISERROR(FIND("NeighMkt",$CX$102))=FALSE,LEFT($CW$111,10)="ALL OUTLET"),DJ260-IF(ISERROR(VLOOKUP(CV260,$CA$113:$DK$300,36,FALSE))=TRUE,0,IF(VLOOKUP(CV260,$CA$113:$DK$300,36,FALSE)="",0,VLOOKUP(CV260,$CA$113:$DK$300,36,FALSE))),DJ260),""),"")</f>
      </c>
      <c s="76">
        <f>IF(ISERROR(VLOOKUP(CV260,$AL$8:$AL$15,1,FALSE))=TRUE,IF(CL260&lt;&gt;"",IF(CL260&gt;0,IF($Z$4&lt;&gt;"",MIN(4,RANK(CL260,$CL$111:$CL$300)),RANK(CL260,$CL$111:$CL$300)),""),""),"")</f>
      </c>
      <c s="75">
        <f>IF(ISERROR(VLOOKUP(CV260,$AL$8:$AL$15,1,FALSE))=TRUE,IF(AND(ISERROR(FIND("NeighMkt",$CX$102))=FALSE,LEFT($CW$111,10)="ALL OUTLET",$CA260&lt;&gt;"",DJ260&lt;&gt;""),"",IF(AND($CV260&lt;&gt;$CW260,$CW260=CN$110),$DJ260,"")),"")</f>
      </c>
      <c s="76">
        <f>IF(ISERROR(VLOOKUP(CV260,$AL$8:$AL$15,1,FALSE))=TRUE,IF(CN260&lt;&gt;"",IF(CN260&gt;0,RANK(CN260,$CN$111:$CN$300),""),""),"")</f>
      </c>
      <c s="75">
        <f>IF(ISERROR(VLOOKUP(CV260,$AL$8:$AL$15,1,FALSE))=TRUE,IF(AND(ISERROR(FIND("NeighMkt",$CX$102))=FALSE,LEFT($CW$111,10)="ALL OUTLET",$CA260&lt;&gt;"",DJ260&lt;&gt;""),"",IF(AND($CV260&lt;&gt;$CW260,$CW260=CP$110),$DJ260,"")),"")</f>
      </c>
      <c s="76">
        <f>IF(ISERROR(VLOOKUP(CV260,$AL$8:$AL$15,1,FALSE))=TRUE,IF(CP260&lt;&gt;"",IF(CP260&gt;0,RANK(CP260,$CP$111:$CP$300),""),""),"")</f>
      </c>
      <c s="75">
        <f>IF(ISERROR(VLOOKUP(CV260,$AL$8:$AL$15,1,FALSE))=TRUE,IF(AND(ISERROR(FIND("NeighMkt",$CX$102))=FALSE,LEFT($CW$111,10)="ALL OUTLET",$CA260&lt;&gt;"",DJ260&lt;&gt;""),"",IF(AND($CV260&lt;&gt;$CW260,$CW260=CR$110),$DJ260,"")),"")</f>
      </c>
      <c s="76">
        <f>IF(ISERROR(VLOOKUP(CV260,$AL$8:$AL$15,1,FALSE))=TRUE,IF(CR260&lt;&gt;"",IF(CR260&gt;0,RANK(CR260,$CR$111:$CR$300),""),""),"")</f>
      </c>
      <c s="75">
        <f>IF(ISERROR(VLOOKUP(CV260,$AL$8:$AL$15,1,FALSE))=TRUE,IF(AND(ISERROR(FIND("NeighMkt",$CX$102))=FALSE,LEFT($CW$111,10)="ALL OUTLET",$CA260&lt;&gt;"",DJ260&lt;&gt;""),"",IF($Z$4="",IF(AND($CV260&lt;&gt;$CW260,$CW260=CT$110),$DJ260,""),IF(AND($CV260&lt;&gt;$CW260,$CW260&lt;&gt;CN$110,$CW260&lt;&gt;CP$110,$CW260&lt;&gt;CR$110,$CW260&lt;&gt;$CV$111),$DJ260,""))),"")</f>
      </c>
      <c s="76">
        <f>IF(ISERROR(VLOOKUP(CV260,$AL$8:$AL$15,1,FALSE))=TRUE,IF(CT260&lt;&gt;"",IF(CT260&gt;0,RANK(CT260,$CT$111:$CT$300),""),""),"")</f>
      </c>
      <c s="65" t="str">
        <f t="shared" si="36"/>
        <v>Pet Supplies Plus</v>
      </c>
      <c s="65" t="str">
        <f t="shared" si="37"/>
        <v>Pet</v>
      </c>
      <c s="72" t="str">
        <f>IF('[1]Leakage Tree Data'!A159&lt;&gt;"",'[1]Leakage Tree Data'!A159,"")</f>
        <v>Total US - Pet Supplies Plus</v>
      </c>
      <c s="72" t="str">
        <f>IF('[1]Leakage Tree Data'!B159&lt;&gt;"",'[1]Leakage Tree Data'!B159,"")</f>
        <v>Total US - Pet</v>
      </c>
      <c s="72">
        <f>IF('[1]Leakage Tree Data'!C159&lt;&gt;"",'[1]Leakage Tree Data'!C159,"")</f>
        <v>121171760.292236</v>
      </c>
      <c s="72">
        <f>IF('[1]Leakage Tree Data'!D159&lt;&gt;"",'[1]Leakage Tree Data'!D159,"")</f>
        <v>3258505.65899658</v>
      </c>
      <c s="72">
        <f>IF('[1]Leakage Tree Data'!E159&lt;&gt;"",'[1]Leakage Tree Data'!E159,"")</f>
        <v>2.68916259955114</v>
      </c>
      <c s="72">
        <f>IF('[1]Leakage Tree Data'!F159&lt;&gt;"",'[1]Leakage Tree Data'!F159,"")</f>
        <v>117913254.63324</v>
      </c>
      <c s="72">
        <f>IF('[1]Leakage Tree Data'!G159&lt;&gt;"",'[1]Leakage Tree Data'!G159,"")</f>
        <v>97.3108374004489</v>
      </c>
      <c s="72">
        <f>IF('[1]Leakage Tree Data'!H159&lt;&gt;"",'[1]Leakage Tree Data'!H159,"")</f>
        <v>61518209.9918823</v>
      </c>
      <c s="72" t="str">
        <f>IF('[1]Leakage Tree Data'!I159&lt;&gt;"",'[1]Leakage Tree Data'!I159,"")</f>
        <v>Pet</v>
      </c>
      <c s="72">
        <f>IF('[1]Leakage Tree Data'!J159&lt;&gt;"",'[1]Leakage Tree Data'!J159,"")</f>
      </c>
      <c s="72">
        <f>IF('[1]Leakage Tree Data'!K159&lt;&gt;"",'[1]Leakage Tree Data'!K159,"")</f>
      </c>
      <c s="72">
        <f>IF('[1]Leakage Tree Data'!L159&lt;&gt;"",'[1]Leakage Tree Data'!L159,"")</f>
      </c>
      <c s="72">
        <f>IF('[1]Leakage Tree Data'!M159&lt;&gt;"",'[1]Leakage Tree Data'!M159,"")</f>
      </c>
      <c s="72">
        <f>IF('[1]Leakage Tree Data'!N159&lt;&gt;"",'[1]Leakage Tree Data'!N159,"")</f>
      </c>
      <c s="72">
        <f>IF('[1]Leakage Tree Data'!O159&lt;&gt;"",'[1]Leakage Tree Data'!O159,"")</f>
      </c>
      <c s="72">
        <f>IF('[1]Leakage Tree Data'!P159&lt;&gt;"",'[1]Leakage Tree Data'!P159,"")</f>
      </c>
      <c s="72">
        <f>IF('[1]Leakage Tree Data'!Q159&lt;&gt;"",'[1]Leakage Tree Data'!Q159,"")</f>
      </c>
      <c s="72">
        <f>IF('[1]Leakage Tree Data'!R159&lt;&gt;"",'[1]Leakage Tree Data'!R159,"")</f>
        <v>1017625.85098267</v>
      </c>
      <c s="72">
        <f>IF('[1]Leakage Tree Data'!S159&lt;&gt;"",'[1]Leakage Tree Data'!S159,"")</f>
        <v>114583.911956787</v>
      </c>
      <c s="72">
        <f>IF('[1]Leakage Tree Data'!T159&lt;&gt;"",'[1]Leakage Tree Data'!T159,"")</f>
        <v>0.0725886783458463</v>
      </c>
      <c s="72">
        <f>IF('[1]Leakage Tree Data'!U159&lt;&gt;"",'[1]Leakage Tree Data'!U159,"")</f>
        <v>903041.939025879</v>
      </c>
      <c s="72">
        <f>IF('[1]Leakage Tree Data'!V159&lt;&gt;"",'[1]Leakage Tree Data'!V159,"")</f>
        <v>-0.0725886783458378</v>
      </c>
      <c s="72">
        <f>IF('[1]Leakage Tree Data'!W159&lt;&gt;"",'[1]Leakage Tree Data'!W159,"")</f>
        <v>-1855949.2237854</v>
      </c>
      <c s="72">
        <f>IF('[1]Leakage Tree Data'!X159&lt;&gt;"",'[1]Leakage Tree Data'!X159,"")</f>
      </c>
      <c s="72">
        <f>IF('[1]Leakage Tree Data'!Y159&lt;&gt;"",'[1]Leakage Tree Data'!Y159,"")</f>
      </c>
      <c s="72">
        <f>IF('[1]Leakage Tree Data'!Z159&lt;&gt;"",'[1]Leakage Tree Data'!Z159,"")</f>
      </c>
      <c s="72">
        <f>IF('[1]Leakage Tree Data'!AA159&lt;&gt;"",'[1]Leakage Tree Data'!AA159,"")</f>
      </c>
      <c s="72">
        <f>IF('[1]Leakage Tree Data'!AB159&lt;&gt;"",'[1]Leakage Tree Data'!AB159,"")</f>
      </c>
      <c s="72">
        <f>IF('[1]Leakage Tree Data'!AC159&lt;&gt;"",'[1]Leakage Tree Data'!AC159,"")</f>
      </c>
      <c s="72">
        <f>IF('[1]Leakage Tree Data'!AD159&lt;&gt;"",'[1]Leakage Tree Data'!AD159,"")</f>
      </c>
      <c s="72">
        <f>IF('[1]Leakage Tree Data'!AE159&lt;&gt;"",'[1]Leakage Tree Data'!AE159,"")</f>
      </c>
      <c s="73">
        <f t="shared" ref="EC260" si="42">IF(AND(CV260=CW260,CV260&lt;&gt;"",DJ260&lt;&gt;""),IF(AND(ISERROR(FIND("NeighMkt",$CX$102))=FALSE,LEFT($CW$111,10)="ALL OUTLET"),DJ260-IF(ISERROR(VLOOKUP(CV260,$CA$113:$DK$300,36,FALSE))=TRUE,0,IF(VLOOKUP(CV260,$CA$113:$DK$300,36,FALSE)="",0,VLOOKUP(CV260,$CA$113:$DK$300,36,FALSE))),DJ260),"")</f>
      </c>
      <c s="73">
        <f t="shared" ref="ED260" si="43">IF(AND(CV260=CW260,CV260&lt;&gt;"",DI$111&lt;&gt;"",DK260&lt;&gt;""),IF(CW$101="Y",DK260-IF(ISERROR(VLOOKUP(CV260,$CA$113:$DK$300,37,FALSE))=TRUE,0,IF(VLOOKUP(CV260,$CA$113:$DK$300,37,FALSE)="",0,VLOOKUP(CV260,$CA$113:$DK$300,37,FALSE))),DK260-IF(AND(CW$102="Y",CV260=$CW$111),DI$111,0)),"")</f>
      </c>
      <c s="73">
        <f t="shared" ref="EE260" si="44">IF(AND(CV260=CW260,CV260&lt;&gt;"",DJ260&lt;&gt;"",DY260&lt;&gt;""),IF(AND(ISERROR(FIND("NeighMkt",$CX$102))=FALSE,LEFT($CW$111,10)="ALL OUTLET"),DY260-IF(ISERROR(VLOOKUP(CV260,$CA$113:$DZ$300,51,FALSE))=TRUE,0,IF(VLOOKUP(CV260,$CA$113:$DZ$300,51,FALSE)="",0,VLOOKUP(CV260,$CA$113:$DZ$300,51,FALSE))),DY260),"")</f>
      </c>
      <c s="73">
        <f t="shared" ref="EF260" si="45">IF(AND(CV260=CW260,CV260&lt;&gt;"",DI$111&lt;&gt;"",DK260&lt;&gt;"",DZ260&lt;&gt;""),IF(CW$101="Y",DZ260-IF(ISERROR(VLOOKUP(CV260,$CA$113:$DZ$300,52,FALSE))=TRUE,0,IF(VLOOKUP(CV260,$CA$113:$DZ$300,52,FALSE)="",0,VLOOKUP(CV260,$CA$113:$DZ$300,52,FALSE))),DZ260-IF(AND(CW$102="Y",CV260=$CW$111),DX$111,0)),"")</f>
      </c>
      <c s="74">
        <f t="shared" si="32"/>
      </c>
      <c s="74">
        <f t="shared" si="33"/>
      </c>
      <c s="69" t="str">
        <f t="shared" si="34"/>
        <v>Total US - Pet Supplies Plus</v>
      </c>
      <c s="69" t="str">
        <f t="shared" si="35"/>
        <v>Total US - Pet</v>
      </c>
      <c s="77"/>
    </row>
    <row r="261" spans="1:140" ht="15">
      <c r="A261"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ref="CA261:CA300" si="46">IF(ISERROR(FIND("Walmart",CV261))=FALSE,CW261,"")</f>
      </c>
      <c s="75">
        <f>IF(ISERROR(VLOOKUP(CV261,$AL$8:$AL$15,1,FALSE))=TRUE,IF(AND(CV261=CW261,CV261&lt;&gt;"",DI$111&lt;&gt;"",DK261&lt;&gt;""),IF(CW$101="Y",DK261-IF(ISERROR(VLOOKUP(CV261,$CA$113:$DK$300,37,FALSE))=TRUE,0,IF(VLOOKUP(CV261,$CA$113:$DK$300,37,FALSE)="",0,VLOOKUP(CV261,$CA$113:$DK$300,37,FALSE))),DK261-IF(AND(CW$102="Y",CV261=$CW$111),DI$111,0)),""),"")</f>
      </c>
      <c s="76">
        <f>IF(ISERROR(VLOOKUP(CV261,$AL$8:$AL$15,1,FALSE))=TRUE,IF(CB261&lt;&gt;"",IF(CB261&gt;0,IF(Z$4&lt;&gt;"",MIN(4,RANK(CB261,$CB$111:$CB$300)),RANK(CB261,$CB$111:$CB$300)),""),""),"")</f>
      </c>
      <c s="75">
        <f>IF(ISERROR(VLOOKUP(CV261,$AL$8:$AL$15,1,FALSE))=TRUE,IF(AND(ISERROR(FIND("NeighMkt",$CX$102))=FALSE,LEFT($CW$111,10)="ALL OUTLET",$CA261&lt;&gt;"",DK261&lt;&gt;""),"",IF(AND($CV261&lt;&gt;$CW261,$CW261=CD$110),$DK261,"")),"")</f>
      </c>
      <c s="76">
        <f>IF(ISERROR(VLOOKUP(CV261,$AL$8:$AL$15,1,FALSE))=TRUE,IF(CD261&lt;&gt;"",IF(CD261&gt;0,RANK(CD261,$CD$111:$CD$300),""),""),"")</f>
      </c>
      <c s="75">
        <f>IF(ISERROR(VLOOKUP(CV261,$AL$8:$AL$15,1,FALSE))=TRUE,IF(AND(ISERROR(FIND("NeighMkt",$CX$102))=FALSE,LEFT($CW$111,10)="ALL OUTLET",$CA261&lt;&gt;"",DK261&lt;&gt;""),"",IF(AND($CV261&lt;&gt;$CW261,$CW261=CF$110),$DK261,"")),"")</f>
      </c>
      <c s="76">
        <f>IF(ISERROR(VLOOKUP(CV261,$AL$8:$AL$15,1,FALSE))=TRUE,IF(CF261&lt;&gt;"",IF(CF261&gt;0,RANK(CF261,$CF$111:$CF$300),""),""),"")</f>
      </c>
      <c s="75">
        <f>IF(ISERROR(VLOOKUP(CV261,$AL$8:$AL$15,1,FALSE))=TRUE,IF(AND(ISERROR(FIND("NeighMkt",$CX$102))=FALSE,LEFT($CW$111,10)="ALL OUTLET",$CA261&lt;&gt;"",DK261&lt;&gt;""),"",IF(AND($CV261&lt;&gt;$CW261,$CW261=CH$110),$DK261,"")),"")</f>
      </c>
      <c s="76">
        <f>IF(ISERROR(VLOOKUP(CV261,$AL$8:$AL$15,1,FALSE))=TRUE,IF(CH261&lt;&gt;"",IF(CH261&gt;0,RANK(CH261,$CH$111:$CH$300),""),""),"")</f>
      </c>
      <c s="75">
        <f>IF(ISERROR(VLOOKUP(CV261,$AL$8:$AL$15,1,FALSE))=TRUE,IF(AND(ISERROR(FIND("NeighMkt",$CX$102))=FALSE,LEFT($CW$111,10)="ALL OUTLET",$CA261&lt;&gt;"",DK261&lt;&gt;""),"",IF($Z$4="",IF(AND($CV261&lt;&gt;$CW261,$CW261=CJ$110),$DK261,""),IF(AND($CV261&lt;&gt;$CW261,$CW261&lt;&gt;CD$110,$CW261&lt;&gt;CF$110,$CW261&lt;&gt;CH$110,$CW261&lt;&gt;$CV$111),$DK261,""))),"")</f>
      </c>
      <c s="76">
        <f>IF(ISERROR(VLOOKUP(CV261,$AL$8:$AL$15,1,FALSE))=TRUE,IF(CJ261&lt;&gt;"",IF(CJ261&gt;0,RANK(CJ261,$CJ$111:$CJ$300),""),""),"")</f>
      </c>
      <c s="75">
        <f>IF(ISERROR(VLOOKUP(CV261,$AL$8:$AL$15,1,FALSE))=TRUE,IF(AND(CV261=CW261,CV261&lt;&gt;"",DJ261&lt;&gt;""),IF(AND(ISERROR(FIND("NeighMkt",$CX$102))=FALSE,LEFT($CW$111,10)="ALL OUTLET"),DJ261-IF(ISERROR(VLOOKUP(CV261,$CA$113:$DK$300,36,FALSE))=TRUE,0,IF(VLOOKUP(CV261,$CA$113:$DK$300,36,FALSE)="",0,VLOOKUP(CV261,$CA$113:$DK$300,36,FALSE))),DJ261),""),"")</f>
      </c>
      <c s="76">
        <f>IF(ISERROR(VLOOKUP(CV261,$AL$8:$AL$15,1,FALSE))=TRUE,IF(CL261&lt;&gt;"",IF(CL261&gt;0,IF($Z$4&lt;&gt;"",MIN(4,RANK(CL261,$CL$111:$CL$300)),RANK(CL261,$CL$111:$CL$300)),""),""),"")</f>
      </c>
      <c s="75">
        <f>IF(ISERROR(VLOOKUP(CV261,$AL$8:$AL$15,1,FALSE))=TRUE,IF(AND(ISERROR(FIND("NeighMkt",$CX$102))=FALSE,LEFT($CW$111,10)="ALL OUTLET",$CA261&lt;&gt;"",DJ261&lt;&gt;""),"",IF(AND($CV261&lt;&gt;$CW261,$CW261=CN$110),$DJ261,"")),"")</f>
      </c>
      <c s="76">
        <f>IF(ISERROR(VLOOKUP(CV261,$AL$8:$AL$15,1,FALSE))=TRUE,IF(CN261&lt;&gt;"",IF(CN261&gt;0,RANK(CN261,$CN$111:$CN$300),""),""),"")</f>
      </c>
      <c s="75">
        <f>IF(ISERROR(VLOOKUP(CV261,$AL$8:$AL$15,1,FALSE))=TRUE,IF(AND(ISERROR(FIND("NeighMkt",$CX$102))=FALSE,LEFT($CW$111,10)="ALL OUTLET",$CA261&lt;&gt;"",DJ261&lt;&gt;""),"",IF(AND($CV261&lt;&gt;$CW261,$CW261=CP$110),$DJ261,"")),"")</f>
      </c>
      <c s="76">
        <f>IF(ISERROR(VLOOKUP(CV261,$AL$8:$AL$15,1,FALSE))=TRUE,IF(CP261&lt;&gt;"",IF(CP261&gt;0,RANK(CP261,$CP$111:$CP$300),""),""),"")</f>
      </c>
      <c s="75">
        <f>IF(ISERROR(VLOOKUP(CV261,$AL$8:$AL$15,1,FALSE))=TRUE,IF(AND(ISERROR(FIND("NeighMkt",$CX$102))=FALSE,LEFT($CW$111,10)="ALL OUTLET",$CA261&lt;&gt;"",DJ261&lt;&gt;""),"",IF(AND($CV261&lt;&gt;$CW261,$CW261=CR$110),$DJ261,"")),"")</f>
      </c>
      <c s="76">
        <f>IF(ISERROR(VLOOKUP(CV261,$AL$8:$AL$15,1,FALSE))=TRUE,IF(CR261&lt;&gt;"",IF(CR261&gt;0,RANK(CR261,$CR$111:$CR$300),""),""),"")</f>
      </c>
      <c s="75">
        <f>IF(ISERROR(VLOOKUP(CV261,$AL$8:$AL$15,1,FALSE))=TRUE,IF(AND(ISERROR(FIND("NeighMkt",$CX$102))=FALSE,LEFT($CW$111,10)="ALL OUTLET",$CA261&lt;&gt;"",DJ261&lt;&gt;""),"",IF($Z$4="",IF(AND($CV261&lt;&gt;$CW261,$CW261=CT$110),$DJ261,""),IF(AND($CV261&lt;&gt;$CW261,$CW261&lt;&gt;CN$110,$CW261&lt;&gt;CP$110,$CW261&lt;&gt;CR$110,$CW261&lt;&gt;$CV$111),$DJ261,""))),"")</f>
      </c>
      <c s="76">
        <f>IF(ISERROR(VLOOKUP(CV261,$AL$8:$AL$15,1,FALSE))=TRUE,IF(CT261&lt;&gt;"",IF(CT261&gt;0,RANK(CT261,$CT$111:$CT$300),""),""),"")</f>
      </c>
      <c s="65" t="str">
        <f t="shared" ref="CV261:CV300" si="47">IF(ISERROR(RIGHT(EI261,LEN(EI261)-IF(ISERROR(FIND(" - ",SUBSTITUTE(EI261," - ","^^^",1)))=FALSE,FIND(" - ",SUBSTITUTE(EI261," - ","^^^",1)),FIND(" - ",EI261))-3+1))=FALSE,RIGHT(EI261,LEN(EI261)-IF(ISERROR(FIND(" - ",SUBSTITUTE(EI261," - ","^^^",1)))=FALSE,FIND(" - ",SUBSTITUTE(EI261," - ","^^^",1)),FIND(" - ",EI261))-3+1),"")</f>
        <v>Petco</v>
      </c>
      <c s="65" t="str">
        <f t="shared" ref="CW261:CW300" si="48">IF(EJ261&lt;&gt;"",RIGHT(EJ261,LEN(EJ261)-IF(ISERROR(FIND(" - ",SUBSTITUTE(EJ261," - ","^^^",1)))=FALSE,FIND(" - ",SUBSTITUTE(EJ261," - ","^^^",1)),FIND(" - ",EJ261))-3+1),"")</f>
        <v>Pet</v>
      </c>
      <c s="72" t="str">
        <f>IF('[1]Leakage Tree Data'!A160&lt;&gt;"",'[1]Leakage Tree Data'!A160,"")</f>
        <v>Total US - Petco</v>
      </c>
      <c s="72" t="str">
        <f>IF('[1]Leakage Tree Data'!B160&lt;&gt;"",'[1]Leakage Tree Data'!B160,"")</f>
        <v>Total US - Pet</v>
      </c>
      <c s="72">
        <f>IF('[1]Leakage Tree Data'!C160&lt;&gt;"",'[1]Leakage Tree Data'!C160,"")</f>
        <v>121171760.292236</v>
      </c>
      <c s="72">
        <f>IF('[1]Leakage Tree Data'!D160&lt;&gt;"",'[1]Leakage Tree Data'!D160,"")</f>
        <v>12284535.4778748</v>
      </c>
      <c s="72">
        <f>IF('[1]Leakage Tree Data'!E160&lt;&gt;"",'[1]Leakage Tree Data'!E160,"")</f>
        <v>10.138117535181</v>
      </c>
      <c s="72">
        <f>IF('[1]Leakage Tree Data'!F160&lt;&gt;"",'[1]Leakage Tree Data'!F160,"")</f>
        <v>108887224.814362</v>
      </c>
      <c s="72">
        <f>IF('[1]Leakage Tree Data'!G160&lt;&gt;"",'[1]Leakage Tree Data'!G160,"")</f>
        <v>89.8618824648189</v>
      </c>
      <c s="72">
        <f>IF('[1]Leakage Tree Data'!H160&lt;&gt;"",'[1]Leakage Tree Data'!H160,"")</f>
        <v>61518209.9918823</v>
      </c>
      <c s="72" t="str">
        <f>IF('[1]Leakage Tree Data'!I160&lt;&gt;"",'[1]Leakage Tree Data'!I160,"")</f>
        <v>Pet</v>
      </c>
      <c s="72">
        <f>IF('[1]Leakage Tree Data'!J160&lt;&gt;"",'[1]Leakage Tree Data'!J160,"")</f>
      </c>
      <c s="72">
        <f>IF('[1]Leakage Tree Data'!K160&lt;&gt;"",'[1]Leakage Tree Data'!K160,"")</f>
      </c>
      <c s="72">
        <f>IF('[1]Leakage Tree Data'!L160&lt;&gt;"",'[1]Leakage Tree Data'!L160,"")</f>
      </c>
      <c s="72">
        <f>IF('[1]Leakage Tree Data'!M160&lt;&gt;"",'[1]Leakage Tree Data'!M160,"")</f>
      </c>
      <c s="72">
        <f>IF('[1]Leakage Tree Data'!N160&lt;&gt;"",'[1]Leakage Tree Data'!N160,"")</f>
      </c>
      <c s="72">
        <f>IF('[1]Leakage Tree Data'!O160&lt;&gt;"",'[1]Leakage Tree Data'!O160,"")</f>
      </c>
      <c s="72">
        <f>IF('[1]Leakage Tree Data'!P160&lt;&gt;"",'[1]Leakage Tree Data'!P160,"")</f>
      </c>
      <c s="72">
        <f>IF('[1]Leakage Tree Data'!Q160&lt;&gt;"",'[1]Leakage Tree Data'!Q160,"")</f>
      </c>
      <c s="72">
        <f>IF('[1]Leakage Tree Data'!R160&lt;&gt;"",'[1]Leakage Tree Data'!R160,"")</f>
        <v>1017625.85098267</v>
      </c>
      <c s="72">
        <f>IF('[1]Leakage Tree Data'!S160&lt;&gt;"",'[1]Leakage Tree Data'!S160,"")</f>
        <v>-336320.3828125</v>
      </c>
      <c s="72">
        <f>IF('[1]Leakage Tree Data'!T160&lt;&gt;"",'[1]Leakage Tree Data'!T160,"")</f>
        <v>-0.365770590997338</v>
      </c>
      <c s="72">
        <f>IF('[1]Leakage Tree Data'!U160&lt;&gt;"",'[1]Leakage Tree Data'!U160,"")</f>
        <v>1353946.23379517</v>
      </c>
      <c s="72">
        <f>IF('[1]Leakage Tree Data'!V160&lt;&gt;"",'[1]Leakage Tree Data'!V160,"")</f>
        <v>0.365770590997329</v>
      </c>
      <c s="72">
        <f>IF('[1]Leakage Tree Data'!W160&lt;&gt;"",'[1]Leakage Tree Data'!W160,"")</f>
        <v>-1855949.2237854</v>
      </c>
      <c s="72">
        <f>IF('[1]Leakage Tree Data'!X160&lt;&gt;"",'[1]Leakage Tree Data'!X160,"")</f>
      </c>
      <c s="72">
        <f>IF('[1]Leakage Tree Data'!Y160&lt;&gt;"",'[1]Leakage Tree Data'!Y160,"")</f>
      </c>
      <c s="72">
        <f>IF('[1]Leakage Tree Data'!Z160&lt;&gt;"",'[1]Leakage Tree Data'!Z160,"")</f>
      </c>
      <c s="72">
        <f>IF('[1]Leakage Tree Data'!AA160&lt;&gt;"",'[1]Leakage Tree Data'!AA160,"")</f>
      </c>
      <c s="72">
        <f>IF('[1]Leakage Tree Data'!AB160&lt;&gt;"",'[1]Leakage Tree Data'!AB160,"")</f>
      </c>
      <c s="72">
        <f>IF('[1]Leakage Tree Data'!AC160&lt;&gt;"",'[1]Leakage Tree Data'!AC160,"")</f>
      </c>
      <c s="72">
        <f>IF('[1]Leakage Tree Data'!AD160&lt;&gt;"",'[1]Leakage Tree Data'!AD160,"")</f>
      </c>
      <c s="72">
        <f>IF('[1]Leakage Tree Data'!AE160&lt;&gt;"",'[1]Leakage Tree Data'!AE160,"")</f>
      </c>
      <c s="73">
        <f t="shared" ref="EC261:EC300" si="49">IF(AND(CV261=CW261,CV261&lt;&gt;"",DJ261&lt;&gt;""),IF(AND(ISERROR(FIND("NeighMkt",$CX$102))=FALSE,LEFT($CW$111,10)="ALL OUTLET"),DJ261-IF(ISERROR(VLOOKUP(CV261,$CA$113:$DK$300,36,FALSE))=TRUE,0,IF(VLOOKUP(CV261,$CA$113:$DK$300,36,FALSE)="",0,VLOOKUP(CV261,$CA$113:$DK$300,36,FALSE))),DJ261),"")</f>
      </c>
      <c s="73">
        <f t="shared" ref="ED261:ED300" si="50">IF(AND(CV261=CW261,CV261&lt;&gt;"",DI$111&lt;&gt;"",DK261&lt;&gt;""),IF(CW$101="Y",DK261-IF(ISERROR(VLOOKUP(CV261,$CA$113:$DK$300,37,FALSE))=TRUE,0,IF(VLOOKUP(CV261,$CA$113:$DK$300,37,FALSE)="",0,VLOOKUP(CV261,$CA$113:$DK$300,37,FALSE))),DK261-IF(AND(CW$102="Y",CV261=$CW$111),DI$111,0)),"")</f>
      </c>
      <c s="73">
        <f t="shared" ref="EE261:EE300" si="51">IF(AND(CV261=CW261,CV261&lt;&gt;"",DJ261&lt;&gt;"",DY261&lt;&gt;""),IF(AND(ISERROR(FIND("NeighMkt",$CX$102))=FALSE,LEFT($CW$111,10)="ALL OUTLET"),DY261-IF(ISERROR(VLOOKUP(CV261,$CA$113:$DZ$300,51,FALSE))=TRUE,0,IF(VLOOKUP(CV261,$CA$113:$DZ$300,51,FALSE)="",0,VLOOKUP(CV261,$CA$113:$DZ$300,51,FALSE))),DY261),"")</f>
      </c>
      <c s="73">
        <f t="shared" ref="EF261:EF300" si="52">IF(AND(CV261=CW261,CV261&lt;&gt;"",DI$111&lt;&gt;"",DK261&lt;&gt;"",DZ261&lt;&gt;""),IF(CW$101="Y",DZ261-IF(ISERROR(VLOOKUP(CV261,$CA$113:$DZ$300,52,FALSE))=TRUE,0,IF(VLOOKUP(CV261,$CA$113:$DZ$300,52,FALSE)="",0,VLOOKUP(CV261,$CA$113:$DZ$300,52,FALSE))),DZ261-IF(AND(CW$102="Y",CV261=$CW$111),DX$111,0)),"")</f>
      </c>
      <c s="74">
        <f t="shared" ref="EG261:EG300" si="53">IF(AND(CV261=CW261,CV261&lt;&gt;"",DJ261&lt;&gt;"",EE261&lt;&gt;""),EC261/$DJ$112-(EC261-EE261)/($DJ$112-$DY$112),"")</f>
      </c>
      <c s="74">
        <f t="shared" ref="EH261:EH300" si="54">IF(AND(CV261=CW261,CV261&lt;&gt;"",DI$111&lt;&gt;"",DK261&lt;&gt;"",EF261&lt;&gt;""),ED261/$DI$112-(ED261-EF261)/($DI$112-$DX$112),"")</f>
      </c>
      <c s="69" t="str">
        <f t="shared" ref="EI261:EI300" si="55">IF(CX261&lt;&gt;"",IF(CW$102&lt;&gt;"Y",IF(ISERROR(FIND(" - ",CX261))=FALSE,CX261,SUBSTITUTE(CX261,"-"," - ")),CX261),"")</f>
        <v>Total US - Petco</v>
      </c>
      <c s="69" t="str">
        <f t="shared" ref="EJ261:EJ300" si="56">IF(CX261&lt;&gt;"",IF(CW$102&lt;&gt;"Y",IF(ISERROR(FIND(" - ",CY261))=FALSE,CY261,SUBSTITUTE(CY261,"-"," - ")),CY261),"")</f>
        <v>Total US - Pet</v>
      </c>
    </row>
    <row r="262" spans="1:140" ht="15">
      <c r="A262"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262,$AL$8:$AL$15,1,FALSE))=TRUE,IF(AND(CV262=CW262,CV262&lt;&gt;"",DI$111&lt;&gt;"",DK262&lt;&gt;""),IF(CW$101="Y",DK262-IF(ISERROR(VLOOKUP(CV262,$CA$113:$DK$300,37,FALSE))=TRUE,0,IF(VLOOKUP(CV262,$CA$113:$DK$300,37,FALSE)="",0,VLOOKUP(CV262,$CA$113:$DK$300,37,FALSE))),DK262-IF(AND(CW$102="Y",CV262=$CW$111),DI$111,0)),""),"")</f>
      </c>
      <c s="76">
        <f>IF(ISERROR(VLOOKUP(CV262,$AL$8:$AL$15,1,FALSE))=TRUE,IF(CB262&lt;&gt;"",IF(CB262&gt;0,IF(Z$4&lt;&gt;"",MIN(4,RANK(CB262,$CB$111:$CB$300)),RANK(CB262,$CB$111:$CB$300)),""),""),"")</f>
      </c>
      <c s="75">
        <f>IF(ISERROR(VLOOKUP(CV262,$AL$8:$AL$15,1,FALSE))=TRUE,IF(AND(ISERROR(FIND("NeighMkt",$CX$102))=FALSE,LEFT($CW$111,10)="ALL OUTLET",$CA262&lt;&gt;"",DK262&lt;&gt;""),"",IF(AND($CV262&lt;&gt;$CW262,$CW262=CD$110),$DK262,"")),"")</f>
      </c>
      <c s="76">
        <f>IF(ISERROR(VLOOKUP(CV262,$AL$8:$AL$15,1,FALSE))=TRUE,IF(CD262&lt;&gt;"",IF(CD262&gt;0,RANK(CD262,$CD$111:$CD$300),""),""),"")</f>
      </c>
      <c s="75">
        <f>IF(ISERROR(VLOOKUP(CV262,$AL$8:$AL$15,1,FALSE))=TRUE,IF(AND(ISERROR(FIND("NeighMkt",$CX$102))=FALSE,LEFT($CW$111,10)="ALL OUTLET",$CA262&lt;&gt;"",DK262&lt;&gt;""),"",IF(AND($CV262&lt;&gt;$CW262,$CW262=CF$110),$DK262,"")),"")</f>
      </c>
      <c s="76">
        <f>IF(ISERROR(VLOOKUP(CV262,$AL$8:$AL$15,1,FALSE))=TRUE,IF(CF262&lt;&gt;"",IF(CF262&gt;0,RANK(CF262,$CF$111:$CF$300),""),""),"")</f>
      </c>
      <c s="75">
        <f>IF(ISERROR(VLOOKUP(CV262,$AL$8:$AL$15,1,FALSE))=TRUE,IF(AND(ISERROR(FIND("NeighMkt",$CX$102))=FALSE,LEFT($CW$111,10)="ALL OUTLET",$CA262&lt;&gt;"",DK262&lt;&gt;""),"",IF(AND($CV262&lt;&gt;$CW262,$CW262=CH$110),$DK262,"")),"")</f>
      </c>
      <c s="76">
        <f>IF(ISERROR(VLOOKUP(CV262,$AL$8:$AL$15,1,FALSE))=TRUE,IF(CH262&lt;&gt;"",IF(CH262&gt;0,RANK(CH262,$CH$111:$CH$300),""),""),"")</f>
      </c>
      <c s="75">
        <f>IF(ISERROR(VLOOKUP(CV262,$AL$8:$AL$15,1,FALSE))=TRUE,IF(AND(ISERROR(FIND("NeighMkt",$CX$102))=FALSE,LEFT($CW$111,10)="ALL OUTLET",$CA262&lt;&gt;"",DK262&lt;&gt;""),"",IF($Z$4="",IF(AND($CV262&lt;&gt;$CW262,$CW262=CJ$110),$DK262,""),IF(AND($CV262&lt;&gt;$CW262,$CW262&lt;&gt;CD$110,$CW262&lt;&gt;CF$110,$CW262&lt;&gt;CH$110,$CW262&lt;&gt;$CV$111),$DK262,""))),"")</f>
      </c>
      <c s="76">
        <f>IF(ISERROR(VLOOKUP(CV262,$AL$8:$AL$15,1,FALSE))=TRUE,IF(CJ262&lt;&gt;"",IF(CJ262&gt;0,RANK(CJ262,$CJ$111:$CJ$300),""),""),"")</f>
      </c>
      <c s="75">
        <f>IF(ISERROR(VLOOKUP(CV262,$AL$8:$AL$15,1,FALSE))=TRUE,IF(AND(CV262=CW262,CV262&lt;&gt;"",DJ262&lt;&gt;""),IF(AND(ISERROR(FIND("NeighMkt",$CX$102))=FALSE,LEFT($CW$111,10)="ALL OUTLET"),DJ262-IF(ISERROR(VLOOKUP(CV262,$CA$113:$DK$300,36,FALSE))=TRUE,0,IF(VLOOKUP(CV262,$CA$113:$DK$300,36,FALSE)="",0,VLOOKUP(CV262,$CA$113:$DK$300,36,FALSE))),DJ262),""),"")</f>
      </c>
      <c s="76">
        <f>IF(ISERROR(VLOOKUP(CV262,$AL$8:$AL$15,1,FALSE))=TRUE,IF(CL262&lt;&gt;"",IF(CL262&gt;0,IF($Z$4&lt;&gt;"",MIN(4,RANK(CL262,$CL$111:$CL$300)),RANK(CL262,$CL$111:$CL$300)),""),""),"")</f>
      </c>
      <c s="75">
        <f>IF(ISERROR(VLOOKUP(CV262,$AL$8:$AL$15,1,FALSE))=TRUE,IF(AND(ISERROR(FIND("NeighMkt",$CX$102))=FALSE,LEFT($CW$111,10)="ALL OUTLET",$CA262&lt;&gt;"",DJ262&lt;&gt;""),"",IF(AND($CV262&lt;&gt;$CW262,$CW262=CN$110),$DJ262,"")),"")</f>
      </c>
      <c s="76">
        <f>IF(ISERROR(VLOOKUP(CV262,$AL$8:$AL$15,1,FALSE))=TRUE,IF(CN262&lt;&gt;"",IF(CN262&gt;0,RANK(CN262,$CN$111:$CN$300),""),""),"")</f>
      </c>
      <c s="75">
        <f>IF(ISERROR(VLOOKUP(CV262,$AL$8:$AL$15,1,FALSE))=TRUE,IF(AND(ISERROR(FIND("NeighMkt",$CX$102))=FALSE,LEFT($CW$111,10)="ALL OUTLET",$CA262&lt;&gt;"",DJ262&lt;&gt;""),"",IF(AND($CV262&lt;&gt;$CW262,$CW262=CP$110),$DJ262,"")),"")</f>
      </c>
      <c s="76">
        <f>IF(ISERROR(VLOOKUP(CV262,$AL$8:$AL$15,1,FALSE))=TRUE,IF(CP262&lt;&gt;"",IF(CP262&gt;0,RANK(CP262,$CP$111:$CP$300),""),""),"")</f>
      </c>
      <c s="75">
        <f>IF(ISERROR(VLOOKUP(CV262,$AL$8:$AL$15,1,FALSE))=TRUE,IF(AND(ISERROR(FIND("NeighMkt",$CX$102))=FALSE,LEFT($CW$111,10)="ALL OUTLET",$CA262&lt;&gt;"",DJ262&lt;&gt;""),"",IF(AND($CV262&lt;&gt;$CW262,$CW262=CR$110),$DJ262,"")),"")</f>
      </c>
      <c s="76">
        <f>IF(ISERROR(VLOOKUP(CV262,$AL$8:$AL$15,1,FALSE))=TRUE,IF(CR262&lt;&gt;"",IF(CR262&gt;0,RANK(CR262,$CR$111:$CR$300),""),""),"")</f>
      </c>
      <c s="75">
        <f>IF(ISERROR(VLOOKUP(CV262,$AL$8:$AL$15,1,FALSE))=TRUE,IF(AND(ISERROR(FIND("NeighMkt",$CX$102))=FALSE,LEFT($CW$111,10)="ALL OUTLET",$CA262&lt;&gt;"",DJ262&lt;&gt;""),"",IF($Z$4="",IF(AND($CV262&lt;&gt;$CW262,$CW262=CT$110),$DJ262,""),IF(AND($CV262&lt;&gt;$CW262,$CW262&lt;&gt;CN$110,$CW262&lt;&gt;CP$110,$CW262&lt;&gt;CR$110,$CW262&lt;&gt;$CV$111),$DJ262,""))),"")</f>
      </c>
      <c s="76">
        <f>IF(ISERROR(VLOOKUP(CV262,$AL$8:$AL$15,1,FALSE))=TRUE,IF(CT262&lt;&gt;"",IF(CT262&gt;0,RANK(CT262,$CT$111:$CT$300),""),""),"")</f>
      </c>
      <c s="65" t="str">
        <f t="shared" si="47"/>
        <v>Petsmart</v>
      </c>
      <c s="65" t="str">
        <f t="shared" si="48"/>
        <v>Pet</v>
      </c>
      <c s="72" t="str">
        <f>IF('[1]Leakage Tree Data'!A161&lt;&gt;"",'[1]Leakage Tree Data'!A161,"")</f>
        <v>Total US - Petsmart</v>
      </c>
      <c s="72" t="str">
        <f>IF('[1]Leakage Tree Data'!B161&lt;&gt;"",'[1]Leakage Tree Data'!B161,"")</f>
        <v>Total US - Pet</v>
      </c>
      <c s="72">
        <f>IF('[1]Leakage Tree Data'!C161&lt;&gt;"",'[1]Leakage Tree Data'!C161,"")</f>
        <v>121171760.292236</v>
      </c>
      <c s="72">
        <f>IF('[1]Leakage Tree Data'!D161&lt;&gt;"",'[1]Leakage Tree Data'!D161,"")</f>
        <v>18359285.0797729</v>
      </c>
      <c s="72">
        <f>IF('[1]Leakage Tree Data'!E161&lt;&gt;"",'[1]Leakage Tree Data'!E161,"")</f>
        <v>15.1514552858644</v>
      </c>
      <c s="72">
        <f>IF('[1]Leakage Tree Data'!F161&lt;&gt;"",'[1]Leakage Tree Data'!F161,"")</f>
        <v>102812475.212463</v>
      </c>
      <c s="72">
        <f>IF('[1]Leakage Tree Data'!G161&lt;&gt;"",'[1]Leakage Tree Data'!G161,"")</f>
        <v>84.8485447141356</v>
      </c>
      <c s="72">
        <f>IF('[1]Leakage Tree Data'!H161&lt;&gt;"",'[1]Leakage Tree Data'!H161,"")</f>
        <v>61518209.9918823</v>
      </c>
      <c s="72" t="str">
        <f>IF('[1]Leakage Tree Data'!I161&lt;&gt;"",'[1]Leakage Tree Data'!I161,"")</f>
        <v>Pet</v>
      </c>
      <c s="72">
        <f>IF('[1]Leakage Tree Data'!J161&lt;&gt;"",'[1]Leakage Tree Data'!J161,"")</f>
      </c>
      <c s="72">
        <f>IF('[1]Leakage Tree Data'!K161&lt;&gt;"",'[1]Leakage Tree Data'!K161,"")</f>
      </c>
      <c s="72">
        <f>IF('[1]Leakage Tree Data'!L161&lt;&gt;"",'[1]Leakage Tree Data'!L161,"")</f>
      </c>
      <c s="72">
        <f>IF('[1]Leakage Tree Data'!M161&lt;&gt;"",'[1]Leakage Tree Data'!M161,"")</f>
      </c>
      <c s="72">
        <f>IF('[1]Leakage Tree Data'!N161&lt;&gt;"",'[1]Leakage Tree Data'!N161,"")</f>
      </c>
      <c s="72">
        <f>IF('[1]Leakage Tree Data'!O161&lt;&gt;"",'[1]Leakage Tree Data'!O161,"")</f>
      </c>
      <c s="72">
        <f>IF('[1]Leakage Tree Data'!P161&lt;&gt;"",'[1]Leakage Tree Data'!P161,"")</f>
      </c>
      <c s="72">
        <f>IF('[1]Leakage Tree Data'!Q161&lt;&gt;"",'[1]Leakage Tree Data'!Q161,"")</f>
      </c>
      <c s="72">
        <f>IF('[1]Leakage Tree Data'!R161&lt;&gt;"",'[1]Leakage Tree Data'!R161,"")</f>
        <v>1017625.85098267</v>
      </c>
      <c s="72">
        <f>IF('[1]Leakage Tree Data'!S161&lt;&gt;"",'[1]Leakage Tree Data'!S161,"")</f>
        <v>-1225974.67776489</v>
      </c>
      <c s="72">
        <f>IF('[1]Leakage Tree Data'!T161&lt;&gt;"",'[1]Leakage Tree Data'!T161,"")</f>
        <v>-1.14865777192937</v>
      </c>
      <c s="72">
        <f>IF('[1]Leakage Tree Data'!U161&lt;&gt;"",'[1]Leakage Tree Data'!U161,"")</f>
        <v>2243600.52874756</v>
      </c>
      <c s="72">
        <f>IF('[1]Leakage Tree Data'!V161&lt;&gt;"",'[1]Leakage Tree Data'!V161,"")</f>
        <v>1.14865777192938</v>
      </c>
      <c s="72">
        <f>IF('[1]Leakage Tree Data'!W161&lt;&gt;"",'[1]Leakage Tree Data'!W161,"")</f>
        <v>-1855949.2237854</v>
      </c>
      <c s="72">
        <f>IF('[1]Leakage Tree Data'!X161&lt;&gt;"",'[1]Leakage Tree Data'!X161,"")</f>
      </c>
      <c s="72">
        <f>IF('[1]Leakage Tree Data'!Y161&lt;&gt;"",'[1]Leakage Tree Data'!Y161,"")</f>
      </c>
      <c s="72">
        <f>IF('[1]Leakage Tree Data'!Z161&lt;&gt;"",'[1]Leakage Tree Data'!Z161,"")</f>
      </c>
      <c s="72">
        <f>IF('[1]Leakage Tree Data'!AA161&lt;&gt;"",'[1]Leakage Tree Data'!AA161,"")</f>
      </c>
      <c s="72">
        <f>IF('[1]Leakage Tree Data'!AB161&lt;&gt;"",'[1]Leakage Tree Data'!AB161,"")</f>
      </c>
      <c s="72">
        <f>IF('[1]Leakage Tree Data'!AC161&lt;&gt;"",'[1]Leakage Tree Data'!AC161,"")</f>
      </c>
      <c s="72">
        <f>IF('[1]Leakage Tree Data'!AD161&lt;&gt;"",'[1]Leakage Tree Data'!AD161,"")</f>
      </c>
      <c s="72">
        <f>IF('[1]Leakage Tree Data'!AE161&lt;&gt;"",'[1]Leakage Tree Data'!AE161,"")</f>
      </c>
      <c s="73">
        <f t="shared" si="49"/>
      </c>
      <c s="73">
        <f t="shared" si="50"/>
      </c>
      <c s="73">
        <f t="shared" si="51"/>
      </c>
      <c s="73">
        <f t="shared" si="52"/>
      </c>
      <c s="74">
        <f t="shared" si="53"/>
      </c>
      <c s="74">
        <f t="shared" si="54"/>
      </c>
      <c s="69" t="str">
        <f t="shared" si="55"/>
        <v>Total US - Petsmart</v>
      </c>
      <c s="69" t="str">
        <f t="shared" si="56"/>
        <v>Total US - Pet</v>
      </c>
    </row>
    <row r="263" spans="1:140" ht="15">
      <c r="A263"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263,$AL$8:$AL$15,1,FALSE))=TRUE,IF(AND(CV263=CW263,CV263&lt;&gt;"",DI$111&lt;&gt;"",DK263&lt;&gt;""),IF(CW$101="Y",DK263-IF(ISERROR(VLOOKUP(CV263,$CA$113:$DK$300,37,FALSE))=TRUE,0,IF(VLOOKUP(CV263,$CA$113:$DK$300,37,FALSE)="",0,VLOOKUP(CV263,$CA$113:$DK$300,37,FALSE))),DK263-IF(AND(CW$102="Y",CV263=$CW$111),DI$111,0)),""),"")</f>
      </c>
      <c s="76">
        <f>IF(ISERROR(VLOOKUP(CV263,$AL$8:$AL$15,1,FALSE))=TRUE,IF(CB263&lt;&gt;"",IF(CB263&gt;0,IF(Z$4&lt;&gt;"",MIN(4,RANK(CB263,$CB$111:$CB$300)),RANK(CB263,$CB$111:$CB$300)),""),""),"")</f>
      </c>
      <c s="75">
        <f>IF(ISERROR(VLOOKUP(CV263,$AL$8:$AL$15,1,FALSE))=TRUE,IF(AND(ISERROR(FIND("NeighMkt",$CX$102))=FALSE,LEFT($CW$111,10)="ALL OUTLET",$CA263&lt;&gt;"",DK263&lt;&gt;""),"",IF(AND($CV263&lt;&gt;$CW263,$CW263=CD$110),$DK263,"")),"")</f>
      </c>
      <c s="76">
        <f>IF(ISERROR(VLOOKUP(CV263,$AL$8:$AL$15,1,FALSE))=TRUE,IF(CD263&lt;&gt;"",IF(CD263&gt;0,RANK(CD263,$CD$111:$CD$300),""),""),"")</f>
      </c>
      <c s="75">
        <f>IF(ISERROR(VLOOKUP(CV263,$AL$8:$AL$15,1,FALSE))=TRUE,IF(AND(ISERROR(FIND("NeighMkt",$CX$102))=FALSE,LEFT($CW$111,10)="ALL OUTLET",$CA263&lt;&gt;"",DK263&lt;&gt;""),"",IF(AND($CV263&lt;&gt;$CW263,$CW263=CF$110),$DK263,"")),"")</f>
      </c>
      <c s="76">
        <f>IF(ISERROR(VLOOKUP(CV263,$AL$8:$AL$15,1,FALSE))=TRUE,IF(CF263&lt;&gt;"",IF(CF263&gt;0,RANK(CF263,$CF$111:$CF$300),""),""),"")</f>
      </c>
      <c s="75">
        <f>IF(ISERROR(VLOOKUP(CV263,$AL$8:$AL$15,1,FALSE))=TRUE,IF(AND(ISERROR(FIND("NeighMkt",$CX$102))=FALSE,LEFT($CW$111,10)="ALL OUTLET",$CA263&lt;&gt;"",DK263&lt;&gt;""),"",IF(AND($CV263&lt;&gt;$CW263,$CW263=CH$110),$DK263,"")),"")</f>
      </c>
      <c s="76">
        <f>IF(ISERROR(VLOOKUP(CV263,$AL$8:$AL$15,1,FALSE))=TRUE,IF(CH263&lt;&gt;"",IF(CH263&gt;0,RANK(CH263,$CH$111:$CH$300),""),""),"")</f>
      </c>
      <c s="75">
        <f>IF(ISERROR(VLOOKUP(CV263,$AL$8:$AL$15,1,FALSE))=TRUE,IF(AND(ISERROR(FIND("NeighMkt",$CX$102))=FALSE,LEFT($CW$111,10)="ALL OUTLET",$CA263&lt;&gt;"",DK263&lt;&gt;""),"",IF($Z$4="",IF(AND($CV263&lt;&gt;$CW263,$CW263=CJ$110),$DK263,""),IF(AND($CV263&lt;&gt;$CW263,$CW263&lt;&gt;CD$110,$CW263&lt;&gt;CF$110,$CW263&lt;&gt;CH$110,$CW263&lt;&gt;$CV$111),$DK263,""))),"")</f>
      </c>
      <c s="76">
        <f>IF(ISERROR(VLOOKUP(CV263,$AL$8:$AL$15,1,FALSE))=TRUE,IF(CJ263&lt;&gt;"",IF(CJ263&gt;0,RANK(CJ263,$CJ$111:$CJ$300),""),""),"")</f>
      </c>
      <c s="75">
        <f>IF(ISERROR(VLOOKUP(CV263,$AL$8:$AL$15,1,FALSE))=TRUE,IF(AND(CV263=CW263,CV263&lt;&gt;"",DJ263&lt;&gt;""),IF(AND(ISERROR(FIND("NeighMkt",$CX$102))=FALSE,LEFT($CW$111,10)="ALL OUTLET"),DJ263-IF(ISERROR(VLOOKUP(CV263,$CA$113:$DK$300,36,FALSE))=TRUE,0,IF(VLOOKUP(CV263,$CA$113:$DK$300,36,FALSE)="",0,VLOOKUP(CV263,$CA$113:$DK$300,36,FALSE))),DJ263),""),"")</f>
      </c>
      <c s="76">
        <f>IF(ISERROR(VLOOKUP(CV263,$AL$8:$AL$15,1,FALSE))=TRUE,IF(CL263&lt;&gt;"",IF(CL263&gt;0,IF($Z$4&lt;&gt;"",MIN(4,RANK(CL263,$CL$111:$CL$300)),RANK(CL263,$CL$111:$CL$300)),""),""),"")</f>
      </c>
      <c s="75">
        <f>IF(ISERROR(VLOOKUP(CV263,$AL$8:$AL$15,1,FALSE))=TRUE,IF(AND(ISERROR(FIND("NeighMkt",$CX$102))=FALSE,LEFT($CW$111,10)="ALL OUTLET",$CA263&lt;&gt;"",DJ263&lt;&gt;""),"",IF(AND($CV263&lt;&gt;$CW263,$CW263=CN$110),$DJ263,"")),"")</f>
      </c>
      <c s="76">
        <f>IF(ISERROR(VLOOKUP(CV263,$AL$8:$AL$15,1,FALSE))=TRUE,IF(CN263&lt;&gt;"",IF(CN263&gt;0,RANK(CN263,$CN$111:$CN$300),""),""),"")</f>
      </c>
      <c s="75">
        <f>IF(ISERROR(VLOOKUP(CV263,$AL$8:$AL$15,1,FALSE))=TRUE,IF(AND(ISERROR(FIND("NeighMkt",$CX$102))=FALSE,LEFT($CW$111,10)="ALL OUTLET",$CA263&lt;&gt;"",DJ263&lt;&gt;""),"",IF(AND($CV263&lt;&gt;$CW263,$CW263=CP$110),$DJ263,"")),"")</f>
      </c>
      <c s="76">
        <f>IF(ISERROR(VLOOKUP(CV263,$AL$8:$AL$15,1,FALSE))=TRUE,IF(CP263&lt;&gt;"",IF(CP263&gt;0,RANK(CP263,$CP$111:$CP$300),""),""),"")</f>
      </c>
      <c s="75">
        <f>IF(ISERROR(VLOOKUP(CV263,$AL$8:$AL$15,1,FALSE))=TRUE,IF(AND(ISERROR(FIND("NeighMkt",$CX$102))=FALSE,LEFT($CW$111,10)="ALL OUTLET",$CA263&lt;&gt;"",DJ263&lt;&gt;""),"",IF(AND($CV263&lt;&gt;$CW263,$CW263=CR$110),$DJ263,"")),"")</f>
      </c>
      <c s="76">
        <f>IF(ISERROR(VLOOKUP(CV263,$AL$8:$AL$15,1,FALSE))=TRUE,IF(CR263&lt;&gt;"",IF(CR263&gt;0,RANK(CR263,$CR$111:$CR$300),""),""),"")</f>
      </c>
      <c s="75">
        <f>IF(ISERROR(VLOOKUP(CV263,$AL$8:$AL$15,1,FALSE))=TRUE,IF(AND(ISERROR(FIND("NeighMkt",$CX$102))=FALSE,LEFT($CW$111,10)="ALL OUTLET",$CA263&lt;&gt;"",DJ263&lt;&gt;""),"",IF($Z$4="",IF(AND($CV263&lt;&gt;$CW263,$CW263=CT$110),$DJ263,""),IF(AND($CV263&lt;&gt;$CW263,$CW263&lt;&gt;CN$110,$CW263&lt;&gt;CP$110,$CW263&lt;&gt;CR$110,$CW263&lt;&gt;$CV$111),$DJ263,""))),"")</f>
      </c>
      <c s="76">
        <f>IF(ISERROR(VLOOKUP(CV263,$AL$8:$AL$15,1,FALSE))=TRUE,IF(CT263&lt;&gt;"",IF(CT263&gt;0,RANK(CT263,$CT$111:$CT$300),""),""),"")</f>
      </c>
      <c s="65" t="str">
        <f t="shared" si="47"/>
        <v>Tractor Supply Company</v>
      </c>
      <c s="65" t="str">
        <f t="shared" si="48"/>
        <v>Pet</v>
      </c>
      <c s="72" t="str">
        <f>IF('[1]Leakage Tree Data'!A162&lt;&gt;"",'[1]Leakage Tree Data'!A162,"")</f>
        <v>Total US - Tractor Supply Company</v>
      </c>
      <c s="72" t="str">
        <f>IF('[1]Leakage Tree Data'!B162&lt;&gt;"",'[1]Leakage Tree Data'!B162,"")</f>
        <v>Total US - Pet</v>
      </c>
      <c s="72">
        <f>IF('[1]Leakage Tree Data'!C162&lt;&gt;"",'[1]Leakage Tree Data'!C162,"")</f>
        <v>121171760.292236</v>
      </c>
      <c s="72">
        <f>IF('[1]Leakage Tree Data'!D162&lt;&gt;"",'[1]Leakage Tree Data'!D162,"")</f>
        <v>8003919.50128174</v>
      </c>
      <c s="72">
        <f>IF('[1]Leakage Tree Data'!E162&lt;&gt;"",'[1]Leakage Tree Data'!E162,"")</f>
        <v>6.60543304972897</v>
      </c>
      <c s="72">
        <f>IF('[1]Leakage Tree Data'!F162&lt;&gt;"",'[1]Leakage Tree Data'!F162,"")</f>
        <v>113167840.790955</v>
      </c>
      <c s="72">
        <f>IF('[1]Leakage Tree Data'!G162&lt;&gt;"",'[1]Leakage Tree Data'!G162,"")</f>
        <v>93.394566950271</v>
      </c>
      <c s="72">
        <f>IF('[1]Leakage Tree Data'!H162&lt;&gt;"",'[1]Leakage Tree Data'!H162,"")</f>
        <v>61518209.9918823</v>
      </c>
      <c s="72" t="str">
        <f>IF('[1]Leakage Tree Data'!I162&lt;&gt;"",'[1]Leakage Tree Data'!I162,"")</f>
        <v>Pet</v>
      </c>
      <c s="72">
        <f>IF('[1]Leakage Tree Data'!J162&lt;&gt;"",'[1]Leakage Tree Data'!J162,"")</f>
      </c>
      <c s="72">
        <f>IF('[1]Leakage Tree Data'!K162&lt;&gt;"",'[1]Leakage Tree Data'!K162,"")</f>
      </c>
      <c s="72">
        <f>IF('[1]Leakage Tree Data'!L162&lt;&gt;"",'[1]Leakage Tree Data'!L162,"")</f>
      </c>
      <c s="72">
        <f>IF('[1]Leakage Tree Data'!M162&lt;&gt;"",'[1]Leakage Tree Data'!M162,"")</f>
      </c>
      <c s="72">
        <f>IF('[1]Leakage Tree Data'!N162&lt;&gt;"",'[1]Leakage Tree Data'!N162,"")</f>
      </c>
      <c s="72">
        <f>IF('[1]Leakage Tree Data'!O162&lt;&gt;"",'[1]Leakage Tree Data'!O162,"")</f>
      </c>
      <c s="72">
        <f>IF('[1]Leakage Tree Data'!P162&lt;&gt;"",'[1]Leakage Tree Data'!P162,"")</f>
      </c>
      <c s="72">
        <f>IF('[1]Leakage Tree Data'!Q162&lt;&gt;"",'[1]Leakage Tree Data'!Q162,"")</f>
      </c>
      <c s="72">
        <f>IF('[1]Leakage Tree Data'!R162&lt;&gt;"",'[1]Leakage Tree Data'!R162,"")</f>
        <v>1017625.85098267</v>
      </c>
      <c s="72">
        <f>IF('[1]Leakage Tree Data'!S162&lt;&gt;"",'[1]Leakage Tree Data'!S162,"")</f>
        <v>280871.321807861</v>
      </c>
      <c s="72">
        <f>IF('[1]Leakage Tree Data'!T162&lt;&gt;"",'[1]Leakage Tree Data'!T162,"")</f>
        <v>0.177815543774673</v>
      </c>
      <c s="72">
        <f>IF('[1]Leakage Tree Data'!U162&lt;&gt;"",'[1]Leakage Tree Data'!U162,"")</f>
        <v>736754.529174805</v>
      </c>
      <c s="72">
        <f>IF('[1]Leakage Tree Data'!V162&lt;&gt;"",'[1]Leakage Tree Data'!V162,"")</f>
        <v>-0.177815543774685</v>
      </c>
      <c s="72">
        <f>IF('[1]Leakage Tree Data'!W162&lt;&gt;"",'[1]Leakage Tree Data'!W162,"")</f>
        <v>-1855949.2237854</v>
      </c>
      <c s="72">
        <f>IF('[1]Leakage Tree Data'!X162&lt;&gt;"",'[1]Leakage Tree Data'!X162,"")</f>
      </c>
      <c s="72">
        <f>IF('[1]Leakage Tree Data'!Y162&lt;&gt;"",'[1]Leakage Tree Data'!Y162,"")</f>
      </c>
      <c s="72">
        <f>IF('[1]Leakage Tree Data'!Z162&lt;&gt;"",'[1]Leakage Tree Data'!Z162,"")</f>
      </c>
      <c s="72">
        <f>IF('[1]Leakage Tree Data'!AA162&lt;&gt;"",'[1]Leakage Tree Data'!AA162,"")</f>
      </c>
      <c s="72">
        <f>IF('[1]Leakage Tree Data'!AB162&lt;&gt;"",'[1]Leakage Tree Data'!AB162,"")</f>
      </c>
      <c s="72">
        <f>IF('[1]Leakage Tree Data'!AC162&lt;&gt;"",'[1]Leakage Tree Data'!AC162,"")</f>
      </c>
      <c s="72">
        <f>IF('[1]Leakage Tree Data'!AD162&lt;&gt;"",'[1]Leakage Tree Data'!AD162,"")</f>
      </c>
      <c s="72">
        <f>IF('[1]Leakage Tree Data'!AE162&lt;&gt;"",'[1]Leakage Tree Data'!AE162,"")</f>
      </c>
      <c s="73">
        <f t="shared" si="49"/>
      </c>
      <c s="73">
        <f t="shared" si="50"/>
      </c>
      <c s="73">
        <f t="shared" si="51"/>
      </c>
      <c s="73">
        <f t="shared" si="52"/>
      </c>
      <c s="74">
        <f t="shared" si="53"/>
      </c>
      <c s="74">
        <f t="shared" si="54"/>
      </c>
      <c s="69" t="str">
        <f t="shared" si="55"/>
        <v>Total US - Tractor Supply Company</v>
      </c>
      <c s="69" t="str">
        <f t="shared" si="56"/>
        <v>Total US - Pet</v>
      </c>
    </row>
    <row r="264" spans="1:140" ht="15">
      <c r="A264"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264,$AL$8:$AL$15,1,FALSE))=TRUE,IF(AND(CV264=CW264,CV264&lt;&gt;"",DI$111&lt;&gt;"",DK264&lt;&gt;""),IF(CW$101="Y",DK264-IF(ISERROR(VLOOKUP(CV264,$CA$113:$DK$300,37,FALSE))=TRUE,0,IF(VLOOKUP(CV264,$CA$113:$DK$300,37,FALSE)="",0,VLOOKUP(CV264,$CA$113:$DK$300,37,FALSE))),DK264-IF(AND(CW$102="Y",CV264=$CW$111),DI$111,0)),""),"")</f>
        <v>9705934.69263077</v>
      </c>
      <c s="76">
        <f>IF(ISERROR(VLOOKUP(CV264,$AL$8:$AL$15,1,FALSE))=TRUE,IF(CB264&lt;&gt;"",IF(CB264&gt;0,IF(Z$4&lt;&gt;"",MIN(4,RANK(CB264,$CB$111:$CB$300)),RANK(CB264,$CB$111:$CB$300)),""),""),"")</f>
        <v>4</v>
      </c>
      <c s="75">
        <f>IF(ISERROR(VLOOKUP(CV264,$AL$8:$AL$15,1,FALSE))=TRUE,IF(AND(ISERROR(FIND("NeighMkt",$CX$102))=FALSE,LEFT($CW$111,10)="ALL OUTLET",$CA264&lt;&gt;"",DK264&lt;&gt;""),"",IF(AND($CV264&lt;&gt;$CW264,$CW264=CD$110),$DK264,"")),"")</f>
      </c>
      <c s="76">
        <f>IF(ISERROR(VLOOKUP(CV264,$AL$8:$AL$15,1,FALSE))=TRUE,IF(CD264&lt;&gt;"",IF(CD264&gt;0,RANK(CD264,$CD$111:$CD$300),""),""),"")</f>
      </c>
      <c s="75">
        <f>IF(ISERROR(VLOOKUP(CV264,$AL$8:$AL$15,1,FALSE))=TRUE,IF(AND(ISERROR(FIND("NeighMkt",$CX$102))=FALSE,LEFT($CW$111,10)="ALL OUTLET",$CA264&lt;&gt;"",DK264&lt;&gt;""),"",IF(AND($CV264&lt;&gt;$CW264,$CW264=CF$110),$DK264,"")),"")</f>
      </c>
      <c s="76">
        <f>IF(ISERROR(VLOOKUP(CV264,$AL$8:$AL$15,1,FALSE))=TRUE,IF(CF264&lt;&gt;"",IF(CF264&gt;0,RANK(CF264,$CF$111:$CF$300),""),""),"")</f>
      </c>
      <c s="75">
        <f>IF(ISERROR(VLOOKUP(CV264,$AL$8:$AL$15,1,FALSE))=TRUE,IF(AND(ISERROR(FIND("NeighMkt",$CX$102))=FALSE,LEFT($CW$111,10)="ALL OUTLET",$CA264&lt;&gt;"",DK264&lt;&gt;""),"",IF(AND($CV264&lt;&gt;$CW264,$CW264=CH$110),$DK264,"")),"")</f>
      </c>
      <c s="76">
        <f>IF(ISERROR(VLOOKUP(CV264,$AL$8:$AL$15,1,FALSE))=TRUE,IF(CH264&lt;&gt;"",IF(CH264&gt;0,RANK(CH264,$CH$111:$CH$300),""),""),"")</f>
      </c>
      <c s="75">
        <f>IF(ISERROR(VLOOKUP(CV264,$AL$8:$AL$15,1,FALSE))=TRUE,IF(AND(ISERROR(FIND("NeighMkt",$CX$102))=FALSE,LEFT($CW$111,10)="ALL OUTLET",$CA264&lt;&gt;"",DK264&lt;&gt;""),"",IF($Z$4="",IF(AND($CV264&lt;&gt;$CW264,$CW264=CJ$110),$DK264,""),IF(AND($CV264&lt;&gt;$CW264,$CW264&lt;&gt;CD$110,$CW264&lt;&gt;CF$110,$CW264&lt;&gt;CH$110,$CW264&lt;&gt;$CV$111),$DK264,""))),"")</f>
      </c>
      <c s="76">
        <f>IF(ISERROR(VLOOKUP(CV264,$AL$8:$AL$15,1,FALSE))=TRUE,IF(CJ264&lt;&gt;"",IF(CJ264&gt;0,RANK(CJ264,$CJ$111:$CJ$300),""),""),"")</f>
      </c>
      <c s="75">
        <f>IF(ISERROR(VLOOKUP(CV264,$AL$8:$AL$15,1,FALSE))=TRUE,IF(AND(CV264=CW264,CV264&lt;&gt;"",DJ264&lt;&gt;""),IF(AND(ISERROR(FIND("NeighMkt",$CX$102))=FALSE,LEFT($CW$111,10)="ALL OUTLET"),DJ264-IF(ISERROR(VLOOKUP(CV264,$CA$113:$DK$300,36,FALSE))=TRUE,0,IF(VLOOKUP(CV264,$CA$113:$DK$300,36,FALSE)="",0,VLOOKUP(CV264,$CA$113:$DK$300,36,FALSE))),DJ264),""),"")</f>
        <v>32021384.8136935</v>
      </c>
      <c s="76">
        <f>IF(ISERROR(VLOOKUP(CV264,$AL$8:$AL$15,1,FALSE))=TRUE,IF(CL264&lt;&gt;"",IF(CL264&gt;0,IF($Z$4&lt;&gt;"",MIN(4,RANK(CL264,$CL$111:$CL$300)),RANK(CL264,$CL$111:$CL$300)),""),""),"")</f>
        <v>4</v>
      </c>
      <c s="75">
        <f>IF(ISERROR(VLOOKUP(CV264,$AL$8:$AL$15,1,FALSE))=TRUE,IF(AND(ISERROR(FIND("NeighMkt",$CX$102))=FALSE,LEFT($CW$111,10)="ALL OUTLET",$CA264&lt;&gt;"",DJ264&lt;&gt;""),"",IF(AND($CV264&lt;&gt;$CW264,$CW264=CN$110),$DJ264,"")),"")</f>
      </c>
      <c s="76">
        <f>IF(ISERROR(VLOOKUP(CV264,$AL$8:$AL$15,1,FALSE))=TRUE,IF(CN264&lt;&gt;"",IF(CN264&gt;0,RANK(CN264,$CN$111:$CN$300),""),""),"")</f>
      </c>
      <c s="75">
        <f>IF(ISERROR(VLOOKUP(CV264,$AL$8:$AL$15,1,FALSE))=TRUE,IF(AND(ISERROR(FIND("NeighMkt",$CX$102))=FALSE,LEFT($CW$111,10)="ALL OUTLET",$CA264&lt;&gt;"",DJ264&lt;&gt;""),"",IF(AND($CV264&lt;&gt;$CW264,$CW264=CP$110),$DJ264,"")),"")</f>
      </c>
      <c s="76">
        <f>IF(ISERROR(VLOOKUP(CV264,$AL$8:$AL$15,1,FALSE))=TRUE,IF(CP264&lt;&gt;"",IF(CP264&gt;0,RANK(CP264,$CP$111:$CP$300),""),""),"")</f>
      </c>
      <c s="75">
        <f>IF(ISERROR(VLOOKUP(CV264,$AL$8:$AL$15,1,FALSE))=TRUE,IF(AND(ISERROR(FIND("NeighMkt",$CX$102))=FALSE,LEFT($CW$111,10)="ALL OUTLET",$CA264&lt;&gt;"",DJ264&lt;&gt;""),"",IF(AND($CV264&lt;&gt;$CW264,$CW264=CR$110),$DJ264,"")),"")</f>
      </c>
      <c s="76">
        <f>IF(ISERROR(VLOOKUP(CV264,$AL$8:$AL$15,1,FALSE))=TRUE,IF(CR264&lt;&gt;"",IF(CR264&gt;0,RANK(CR264,$CR$111:$CR$300),""),""),"")</f>
      </c>
      <c s="75">
        <f>IF(ISERROR(VLOOKUP(CV264,$AL$8:$AL$15,1,FALSE))=TRUE,IF(AND(ISERROR(FIND("NeighMkt",$CX$102))=FALSE,LEFT($CW$111,10)="ALL OUTLET",$CA264&lt;&gt;"",DJ264&lt;&gt;""),"",IF($Z$4="",IF(AND($CV264&lt;&gt;$CW264,$CW264=CT$110),$DJ264,""),IF(AND($CV264&lt;&gt;$CW264,$CW264&lt;&gt;CN$110,$CW264&lt;&gt;CP$110,$CW264&lt;&gt;CR$110,$CW264&lt;&gt;$CV$111),$DJ264,""))),"")</f>
      </c>
      <c s="76">
        <f>IF(ISERROR(VLOOKUP(CV264,$AL$8:$AL$15,1,FALSE))=TRUE,IF(CT264&lt;&gt;"",IF(CT264&gt;0,RANK(CT264,$CT$111:$CT$300),""),""),"")</f>
      </c>
      <c s="65" t="str">
        <f t="shared" si="47"/>
        <v>Specialty Stores</v>
      </c>
      <c s="65" t="str">
        <f t="shared" si="48"/>
        <v>Specialty Stores</v>
      </c>
      <c s="72" t="str">
        <f>IF('[1]Leakage Tree Data'!A163&lt;&gt;"",'[1]Leakage Tree Data'!A163,"")</f>
        <v>Total US - Specialty Stores</v>
      </c>
      <c s="72" t="str">
        <f>IF('[1]Leakage Tree Data'!B163&lt;&gt;"",'[1]Leakage Tree Data'!B163,"")</f>
        <v>Total US - Specialty Stores</v>
      </c>
      <c s="72">
        <f>IF('[1]Leakage Tree Data'!C163&lt;&gt;"",'[1]Leakage Tree Data'!C163,"")</f>
        <v>121171760.292236</v>
      </c>
      <c s="72">
        <f>IF('[1]Leakage Tree Data'!D163&lt;&gt;"",'[1]Leakage Tree Data'!D163,"")</f>
        <v>108365268.113892</v>
      </c>
      <c s="72">
        <f>IF('[1]Leakage Tree Data'!E163&lt;&gt;"",'[1]Leakage Tree Data'!E163,"")</f>
        <v>89.4311247542673</v>
      </c>
      <c s="72">
        <f>IF('[1]Leakage Tree Data'!F163&lt;&gt;"",'[1]Leakage Tree Data'!F163,"")</f>
        <v>12806492.1783447</v>
      </c>
      <c s="72">
        <f>IF('[1]Leakage Tree Data'!G163&lt;&gt;"",'[1]Leakage Tree Data'!G163,"")</f>
        <v>10.5688752457327</v>
      </c>
      <c s="72">
        <f>IF('[1]Leakage Tree Data'!H163&lt;&gt;"",'[1]Leakage Tree Data'!H163,"")</f>
        <v>61518209.9918823</v>
      </c>
      <c s="72" t="str">
        <f>IF('[1]Leakage Tree Data'!I163&lt;&gt;"",'[1]Leakage Tree Data'!I163,"")</f>
        <v>Specialty Stores</v>
      </c>
      <c s="72">
        <f>IF('[1]Leakage Tree Data'!J163&lt;&gt;"",'[1]Leakage Tree Data'!J163,"")</f>
        <v>93.1259299153081</v>
      </c>
      <c s="72">
        <f>IF('[1]Leakage Tree Data'!K163&lt;&gt;"",'[1]Leakage Tree Data'!K163,"")</f>
        <v>4228804.86968994</v>
      </c>
      <c s="72">
        <f>IF('[1]Leakage Tree Data'!L163&lt;&gt;"",'[1]Leakage Tree Data'!L163,"")</f>
        <v>9705934.69263077</v>
      </c>
      <c s="72">
        <f>IF('[1]Leakage Tree Data'!M163&lt;&gt;"",'[1]Leakage Tree Data'!M163,"")</f>
        <v>32021384.8136935</v>
      </c>
      <c s="72">
        <f>IF('[1]Leakage Tree Data'!N163&lt;&gt;"",'[1]Leakage Tree Data'!N163,"")</f>
        <v>9705934.69263077</v>
      </c>
      <c s="72">
        <f>IF('[1]Leakage Tree Data'!O163&lt;&gt;"",'[1]Leakage Tree Data'!O163,"")</f>
        <v>7.31757626367684</v>
      </c>
      <c s="72">
        <f>IF('[1]Leakage Tree Data'!P163&lt;&gt;"",'[1]Leakage Tree Data'!P163,"")</f>
        <v>11972146.6371711</v>
      </c>
      <c s="72">
        <f>IF('[1]Leakage Tree Data'!Q163&lt;&gt;"",'[1]Leakage Tree Data'!Q163,"")</f>
      </c>
      <c s="72">
        <f>IF('[1]Leakage Tree Data'!R163&lt;&gt;"",'[1]Leakage Tree Data'!R163,"")</f>
        <v>1017625.85098267</v>
      </c>
      <c s="72">
        <f>IF('[1]Leakage Tree Data'!S163&lt;&gt;"",'[1]Leakage Tree Data'!S163,"")</f>
        <v>-1290689.20687866</v>
      </c>
      <c s="72">
        <f>IF('[1]Leakage Tree Data'!T163&lt;&gt;"",'[1]Leakage Tree Data'!T163,"")</f>
        <v>-1.83161691558658</v>
      </c>
      <c s="72">
        <f>IF('[1]Leakage Tree Data'!U163&lt;&gt;"",'[1]Leakage Tree Data'!U163,"")</f>
        <v>2308315.05786133</v>
      </c>
      <c s="72">
        <f>IF('[1]Leakage Tree Data'!V163&lt;&gt;"",'[1]Leakage Tree Data'!V163,"")</f>
        <v>1.83161691558658</v>
      </c>
      <c s="72">
        <f>IF('[1]Leakage Tree Data'!W163&lt;&gt;"",'[1]Leakage Tree Data'!W163,"")</f>
        <v>-1855949.2237854</v>
      </c>
      <c s="72">
        <f>IF('[1]Leakage Tree Data'!X163&lt;&gt;"",'[1]Leakage Tree Data'!X163,"")</f>
      </c>
      <c s="72">
        <f>IF('[1]Leakage Tree Data'!Y163&lt;&gt;"",'[1]Leakage Tree Data'!Y163,"")</f>
        <v>0.646847733846855</v>
      </c>
      <c s="72">
        <f>IF('[1]Leakage Tree Data'!Z163&lt;&gt;"",'[1]Leakage Tree Data'!Z163,"")</f>
        <v>-537513.563110352</v>
      </c>
      <c s="72">
        <f>IF('[1]Leakage Tree Data'!AA163&lt;&gt;"",'[1]Leakage Tree Data'!AA163,"")</f>
        <v>-2086119.17891598</v>
      </c>
      <c s="72">
        <f>IF('[1]Leakage Tree Data'!AB163&lt;&gt;"",'[1]Leakage Tree Data'!AB163,"")</f>
        <v>-1306891.42715931</v>
      </c>
      <c s="72">
        <f>IF('[1]Leakage Tree Data'!AC163&lt;&gt;"",'[1]Leakage Tree Data'!AC163,"")</f>
        <v>-2086119.17891598</v>
      </c>
      <c s="72">
        <f>IF('[1]Leakage Tree Data'!AD163&lt;&gt;"",'[1]Leakage Tree Data'!AD163,"")</f>
        <v>-0.641455963386476</v>
      </c>
      <c s="72">
        <f>IF('[1]Leakage Tree Data'!AE163&lt;&gt;"",'[1]Leakage Tree Data'!AE163,"")</f>
      </c>
      <c s="73">
        <f t="shared" si="49"/>
        <v>32021384.8136935</v>
      </c>
      <c s="73">
        <f t="shared" si="50"/>
        <v>9705934.69263077</v>
      </c>
      <c s="73">
        <f t="shared" si="51"/>
        <v>-1306891.42715931</v>
      </c>
      <c s="73">
        <f t="shared" si="52"/>
        <v>-2086119.17891598</v>
      </c>
      <c s="74">
        <f t="shared" si="53"/>
        <v>0.000128186075895102</v>
      </c>
      <c s="74">
        <f t="shared" si="54"/>
        <v>-0.000167408004312973</v>
      </c>
      <c s="69" t="str">
        <f t="shared" si="55"/>
        <v>Total US - Specialty Stores</v>
      </c>
      <c s="69" t="str">
        <f t="shared" si="56"/>
        <v>Total US - Specialty Stores</v>
      </c>
    </row>
    <row r="265" spans="1:140" ht="15">
      <c r="A265"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265,$AL$8:$AL$15,1,FALSE))=TRUE,IF(AND(CV265=CW265,CV265&lt;&gt;"",DI$111&lt;&gt;"",DK265&lt;&gt;""),IF(CW$101="Y",DK265-IF(ISERROR(VLOOKUP(CV265,$CA$113:$DK$300,37,FALSE))=TRUE,0,IF(VLOOKUP(CV265,$CA$113:$DK$300,37,FALSE)="",0,VLOOKUP(CV265,$CA$113:$DK$300,37,FALSE))),DK265-IF(AND(CW$102="Y",CV265=$CW$111),DI$111,0)),""),"")</f>
      </c>
      <c s="76">
        <f>IF(ISERROR(VLOOKUP(CV265,$AL$8:$AL$15,1,FALSE))=TRUE,IF(CB265&lt;&gt;"",IF(CB265&gt;0,IF(Z$4&lt;&gt;"",MIN(4,RANK(CB265,$CB$111:$CB$300)),RANK(CB265,$CB$111:$CB$300)),""),""),"")</f>
      </c>
      <c s="75">
        <f>IF(ISERROR(VLOOKUP(CV265,$AL$8:$AL$15,1,FALSE))=TRUE,IF(AND(ISERROR(FIND("NeighMkt",$CX$102))=FALSE,LEFT($CW$111,10)="ALL OUTLET",$CA265&lt;&gt;"",DK265&lt;&gt;""),"",IF(AND($CV265&lt;&gt;$CW265,$CW265=CD$110),$DK265,"")),"")</f>
      </c>
      <c s="76">
        <f>IF(ISERROR(VLOOKUP(CV265,$AL$8:$AL$15,1,FALSE))=TRUE,IF(CD265&lt;&gt;"",IF(CD265&gt;0,RANK(CD265,$CD$111:$CD$300),""),""),"")</f>
      </c>
      <c s="75">
        <f>IF(ISERROR(VLOOKUP(CV265,$AL$8:$AL$15,1,FALSE))=TRUE,IF(AND(ISERROR(FIND("NeighMkt",$CX$102))=FALSE,LEFT($CW$111,10)="ALL OUTLET",$CA265&lt;&gt;"",DK265&lt;&gt;""),"",IF(AND($CV265&lt;&gt;$CW265,$CW265=CF$110),$DK265,"")),"")</f>
      </c>
      <c s="76">
        <f>IF(ISERROR(VLOOKUP(CV265,$AL$8:$AL$15,1,FALSE))=TRUE,IF(CF265&lt;&gt;"",IF(CF265&gt;0,RANK(CF265,$CF$111:$CF$300),""),""),"")</f>
      </c>
      <c s="75">
        <f>IF(ISERROR(VLOOKUP(CV265,$AL$8:$AL$15,1,FALSE))=TRUE,IF(AND(ISERROR(FIND("NeighMkt",$CX$102))=FALSE,LEFT($CW$111,10)="ALL OUTLET",$CA265&lt;&gt;"",DK265&lt;&gt;""),"",IF(AND($CV265&lt;&gt;$CW265,$CW265=CH$110),$DK265,"")),"")</f>
      </c>
      <c s="76">
        <f>IF(ISERROR(VLOOKUP(CV265,$AL$8:$AL$15,1,FALSE))=TRUE,IF(CH265&lt;&gt;"",IF(CH265&gt;0,RANK(CH265,$CH$111:$CH$300),""),""),"")</f>
      </c>
      <c s="75">
        <f>IF(ISERROR(VLOOKUP(CV265,$AL$8:$AL$15,1,FALSE))=TRUE,IF(AND(ISERROR(FIND("NeighMkt",$CX$102))=FALSE,LEFT($CW$111,10)="ALL OUTLET",$CA265&lt;&gt;"",DK265&lt;&gt;""),"",IF($Z$4="",IF(AND($CV265&lt;&gt;$CW265,$CW265=CJ$110),$DK265,""),IF(AND($CV265&lt;&gt;$CW265,$CW265&lt;&gt;CD$110,$CW265&lt;&gt;CF$110,$CW265&lt;&gt;CH$110,$CW265&lt;&gt;$CV$111),$DK265,""))),"")</f>
      </c>
      <c s="76">
        <f>IF(ISERROR(VLOOKUP(CV265,$AL$8:$AL$15,1,FALSE))=TRUE,IF(CJ265&lt;&gt;"",IF(CJ265&gt;0,RANK(CJ265,$CJ$111:$CJ$300),""),""),"")</f>
      </c>
      <c s="75">
        <f>IF(ISERROR(VLOOKUP(CV265,$AL$8:$AL$15,1,FALSE))=TRUE,IF(AND(CV265=CW265,CV265&lt;&gt;"",DJ265&lt;&gt;""),IF(AND(ISERROR(FIND("NeighMkt",$CX$102))=FALSE,LEFT($CW$111,10)="ALL OUTLET"),DJ265-IF(ISERROR(VLOOKUP(CV265,$CA$113:$DK$300,36,FALSE))=TRUE,0,IF(VLOOKUP(CV265,$CA$113:$DK$300,36,FALSE)="",0,VLOOKUP(CV265,$CA$113:$DK$300,36,FALSE))),DJ265),""),"")</f>
      </c>
      <c s="76">
        <f>IF(ISERROR(VLOOKUP(CV265,$AL$8:$AL$15,1,FALSE))=TRUE,IF(CL265&lt;&gt;"",IF(CL265&gt;0,IF($Z$4&lt;&gt;"",MIN(4,RANK(CL265,$CL$111:$CL$300)),RANK(CL265,$CL$111:$CL$300)),""),""),"")</f>
      </c>
      <c s="75">
        <f>IF(ISERROR(VLOOKUP(CV265,$AL$8:$AL$15,1,FALSE))=TRUE,IF(AND(ISERROR(FIND("NeighMkt",$CX$102))=FALSE,LEFT($CW$111,10)="ALL OUTLET",$CA265&lt;&gt;"",DJ265&lt;&gt;""),"",IF(AND($CV265&lt;&gt;$CW265,$CW265=CN$110),$DJ265,"")),"")</f>
      </c>
      <c s="76">
        <f>IF(ISERROR(VLOOKUP(CV265,$AL$8:$AL$15,1,FALSE))=TRUE,IF(CN265&lt;&gt;"",IF(CN265&gt;0,RANK(CN265,$CN$111:$CN$300),""),""),"")</f>
      </c>
      <c s="75">
        <f>IF(ISERROR(VLOOKUP(CV265,$AL$8:$AL$15,1,FALSE))=TRUE,IF(AND(ISERROR(FIND("NeighMkt",$CX$102))=FALSE,LEFT($CW$111,10)="ALL OUTLET",$CA265&lt;&gt;"",DJ265&lt;&gt;""),"",IF(AND($CV265&lt;&gt;$CW265,$CW265=CP$110),$DJ265,"")),"")</f>
      </c>
      <c s="76">
        <f>IF(ISERROR(VLOOKUP(CV265,$AL$8:$AL$15,1,FALSE))=TRUE,IF(CP265&lt;&gt;"",IF(CP265&gt;0,RANK(CP265,$CP$111:$CP$300),""),""),"")</f>
      </c>
      <c s="75">
        <f>IF(ISERROR(VLOOKUP(CV265,$AL$8:$AL$15,1,FALSE))=TRUE,IF(AND(ISERROR(FIND("NeighMkt",$CX$102))=FALSE,LEFT($CW$111,10)="ALL OUTLET",$CA265&lt;&gt;"",DJ265&lt;&gt;""),"",IF(AND($CV265&lt;&gt;$CW265,$CW265=CR$110),$DJ265,"")),"")</f>
      </c>
      <c s="76">
        <f>IF(ISERROR(VLOOKUP(CV265,$AL$8:$AL$15,1,FALSE))=TRUE,IF(CR265&lt;&gt;"",IF(CR265&gt;0,RANK(CR265,$CR$111:$CR$300),""),""),"")</f>
      </c>
      <c s="75">
        <f>IF(ISERROR(VLOOKUP(CV265,$AL$8:$AL$15,1,FALSE))=TRUE,IF(AND(ISERROR(FIND("NeighMkt",$CX$102))=FALSE,LEFT($CW$111,10)="ALL OUTLET",$CA265&lt;&gt;"",DJ265&lt;&gt;""),"",IF($Z$4="",IF(AND($CV265&lt;&gt;$CW265,$CW265=CT$110),$DJ265,""),IF(AND($CV265&lt;&gt;$CW265,$CW265&lt;&gt;CN$110,$CW265&lt;&gt;CP$110,$CW265&lt;&gt;CR$110,$CW265&lt;&gt;$CV$111),$DJ265,""))),"")</f>
        <v>204119.599936485</v>
      </c>
      <c s="76">
        <f>IF(ISERROR(VLOOKUP(CV265,$AL$8:$AL$15,1,FALSE))=TRUE,IF(CT265&lt;&gt;"",IF(CT265&gt;0,RANK(CT265,$CT$111:$CT$300),""),""),"")</f>
        <v>22</v>
      </c>
      <c s="65" t="str">
        <f t="shared" si="47"/>
        <v>Bed Bath &amp; Beyond</v>
      </c>
      <c s="65" t="str">
        <f t="shared" si="48"/>
        <v>Specialty Stores</v>
      </c>
      <c s="72" t="str">
        <f>IF('[1]Leakage Tree Data'!A164&lt;&gt;"",'[1]Leakage Tree Data'!A164,"")</f>
        <v>Total US - Bed Bath &amp; Beyond</v>
      </c>
      <c s="72" t="str">
        <f>IF('[1]Leakage Tree Data'!B164&lt;&gt;"",'[1]Leakage Tree Data'!B164,"")</f>
        <v>Total US - Specialty Stores</v>
      </c>
      <c s="72">
        <f>IF('[1]Leakage Tree Data'!C164&lt;&gt;"",'[1]Leakage Tree Data'!C164,"")</f>
        <v>121171760.292236</v>
      </c>
      <c s="72">
        <f>IF('[1]Leakage Tree Data'!D164&lt;&gt;"",'[1]Leakage Tree Data'!D164,"")</f>
        <v>27206122.8131714</v>
      </c>
      <c s="72">
        <f>IF('[1]Leakage Tree Data'!E164&lt;&gt;"",'[1]Leakage Tree Data'!E164,"")</f>
        <v>22.4525275093445</v>
      </c>
      <c s="72">
        <f>IF('[1]Leakage Tree Data'!F164&lt;&gt;"",'[1]Leakage Tree Data'!F164,"")</f>
        <v>93965637.4790649</v>
      </c>
      <c s="72">
        <f>IF('[1]Leakage Tree Data'!G164&lt;&gt;"",'[1]Leakage Tree Data'!G164,"")</f>
        <v>77.5474724906555</v>
      </c>
      <c s="72">
        <f>IF('[1]Leakage Tree Data'!H164&lt;&gt;"",'[1]Leakage Tree Data'!H164,"")</f>
        <v>61518209.9918823</v>
      </c>
      <c s="72" t="str">
        <f>IF('[1]Leakage Tree Data'!I164&lt;&gt;"",'[1]Leakage Tree Data'!I164,"")</f>
        <v>Specialty Stores</v>
      </c>
      <c s="72">
        <f>IF('[1]Leakage Tree Data'!J164&lt;&gt;"",'[1]Leakage Tree Data'!J164,"")</f>
        <v>99.6707890670723</v>
      </c>
      <c s="72">
        <f>IF('[1]Leakage Tree Data'!K164&lt;&gt;"",'[1]Leakage Tree Data'!K164,"")</f>
        <v>202524.673034668</v>
      </c>
      <c s="72">
        <f>IF('[1]Leakage Tree Data'!L164&lt;&gt;"",'[1]Leakage Tree Data'!L164,"")</f>
      </c>
      <c s="72">
        <f>IF('[1]Leakage Tree Data'!M164&lt;&gt;"",'[1]Leakage Tree Data'!M164,"")</f>
        <v>204119.599936485</v>
      </c>
      <c s="72">
        <f>IF('[1]Leakage Tree Data'!N164&lt;&gt;"",'[1]Leakage Tree Data'!N164,"")</f>
      </c>
      <c s="72">
        <f>IF('[1]Leakage Tree Data'!O164&lt;&gt;"",'[1]Leakage Tree Data'!O164,"")</f>
        <v>1.05059917500096</v>
      </c>
      <c s="72">
        <f>IF('[1]Leakage Tree Data'!P164&lt;&gt;"",'[1]Leakage Tree Data'!P164,"")</f>
        <v>3159315.1795945</v>
      </c>
      <c s="72">
        <f>IF('[1]Leakage Tree Data'!Q164&lt;&gt;"",'[1]Leakage Tree Data'!Q164,"")</f>
      </c>
      <c s="72">
        <f>IF('[1]Leakage Tree Data'!R164&lt;&gt;"",'[1]Leakage Tree Data'!R164,"")</f>
        <v>1017625.85098267</v>
      </c>
      <c s="72">
        <f>IF('[1]Leakage Tree Data'!S164&lt;&gt;"",'[1]Leakage Tree Data'!S164,"")</f>
        <v>-1295763.21151733</v>
      </c>
      <c s="72">
        <f>IF('[1]Leakage Tree Data'!T164&lt;&gt;"",'[1]Leakage Tree Data'!T164,"")</f>
        <v>-1.26857551988497</v>
      </c>
      <c s="72">
        <f>IF('[1]Leakage Tree Data'!U164&lt;&gt;"",'[1]Leakage Tree Data'!U164,"")</f>
        <v>2313389.0625</v>
      </c>
      <c s="72">
        <f>IF('[1]Leakage Tree Data'!V164&lt;&gt;"",'[1]Leakage Tree Data'!V164,"")</f>
        <v>1.26857551988496</v>
      </c>
      <c s="72">
        <f>IF('[1]Leakage Tree Data'!W164&lt;&gt;"",'[1]Leakage Tree Data'!W164,"")</f>
        <v>-1855949.2237854</v>
      </c>
      <c s="72">
        <f>IF('[1]Leakage Tree Data'!X164&lt;&gt;"",'[1]Leakage Tree Data'!X164,"")</f>
      </c>
      <c s="72">
        <f>IF('[1]Leakage Tree Data'!Y164&lt;&gt;"",'[1]Leakage Tree Data'!Y164,"")</f>
        <v>0.106977100588679</v>
      </c>
      <c s="72">
        <f>IF('[1]Leakage Tree Data'!Z164&lt;&gt;"",'[1]Leakage Tree Data'!Z164,"")</f>
        <v>-73905.8258056641</v>
      </c>
      <c s="72">
        <f>IF('[1]Leakage Tree Data'!AA164&lt;&gt;"",'[1]Leakage Tree Data'!AA164,"")</f>
      </c>
      <c s="72">
        <f>IF('[1]Leakage Tree Data'!AB164&lt;&gt;"",'[1]Leakage Tree Data'!AB164,"")</f>
        <v>-81741.0741181374</v>
      </c>
      <c s="72">
        <f>IF('[1]Leakage Tree Data'!AC164&lt;&gt;"",'[1]Leakage Tree Data'!AC164,"")</f>
      </c>
      <c s="72">
        <f>IF('[1]Leakage Tree Data'!AD164&lt;&gt;"",'[1]Leakage Tree Data'!AD164,"")</f>
        <v>-0.340569569905068</v>
      </c>
      <c s="72">
        <f>IF('[1]Leakage Tree Data'!AE164&lt;&gt;"",'[1]Leakage Tree Data'!AE164,"")</f>
      </c>
      <c s="73">
        <f t="shared" si="49"/>
      </c>
      <c s="73">
        <f t="shared" si="50"/>
      </c>
      <c s="73">
        <f t="shared" si="51"/>
      </c>
      <c s="73">
        <f t="shared" si="52"/>
      </c>
      <c s="74">
        <f t="shared" si="53"/>
      </c>
      <c s="74">
        <f t="shared" si="54"/>
      </c>
      <c s="69" t="str">
        <f t="shared" si="55"/>
        <v>Total US - Bed Bath &amp; Beyond</v>
      </c>
      <c s="69" t="str">
        <f t="shared" si="56"/>
        <v>Total US - Specialty Stores</v>
      </c>
    </row>
    <row r="266" spans="1:140" ht="15">
      <c r="A266"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266,$AL$8:$AL$15,1,FALSE))=TRUE,IF(AND(CV266=CW266,CV266&lt;&gt;"",DI$111&lt;&gt;"",DK266&lt;&gt;""),IF(CW$101="Y",DK266-IF(ISERROR(VLOOKUP(CV266,$CA$113:$DK$300,37,FALSE))=TRUE,0,IF(VLOOKUP(CV266,$CA$113:$DK$300,37,FALSE)="",0,VLOOKUP(CV266,$CA$113:$DK$300,37,FALSE))),DK266-IF(AND(CW$102="Y",CV266=$CW$111),DI$111,0)),""),"")</f>
      </c>
      <c s="76">
        <f>IF(ISERROR(VLOOKUP(CV266,$AL$8:$AL$15,1,FALSE))=TRUE,IF(CB266&lt;&gt;"",IF(CB266&gt;0,IF(Z$4&lt;&gt;"",MIN(4,RANK(CB266,$CB$111:$CB$300)),RANK(CB266,$CB$111:$CB$300)),""),""),"")</f>
      </c>
      <c s="75">
        <f>IF(ISERROR(VLOOKUP(CV266,$AL$8:$AL$15,1,FALSE))=TRUE,IF(AND(ISERROR(FIND("NeighMkt",$CX$102))=FALSE,LEFT($CW$111,10)="ALL OUTLET",$CA266&lt;&gt;"",DK266&lt;&gt;""),"",IF(AND($CV266&lt;&gt;$CW266,$CW266=CD$110),$DK266,"")),"")</f>
      </c>
      <c s="76">
        <f>IF(ISERROR(VLOOKUP(CV266,$AL$8:$AL$15,1,FALSE))=TRUE,IF(CD266&lt;&gt;"",IF(CD266&gt;0,RANK(CD266,$CD$111:$CD$300),""),""),"")</f>
      </c>
      <c s="75">
        <f>IF(ISERROR(VLOOKUP(CV266,$AL$8:$AL$15,1,FALSE))=TRUE,IF(AND(ISERROR(FIND("NeighMkt",$CX$102))=FALSE,LEFT($CW$111,10)="ALL OUTLET",$CA266&lt;&gt;"",DK266&lt;&gt;""),"",IF(AND($CV266&lt;&gt;$CW266,$CW266=CF$110),$DK266,"")),"")</f>
      </c>
      <c s="76">
        <f>IF(ISERROR(VLOOKUP(CV266,$AL$8:$AL$15,1,FALSE))=TRUE,IF(CF266&lt;&gt;"",IF(CF266&gt;0,RANK(CF266,$CF$111:$CF$300),""),""),"")</f>
      </c>
      <c s="75">
        <f>IF(ISERROR(VLOOKUP(CV266,$AL$8:$AL$15,1,FALSE))=TRUE,IF(AND(ISERROR(FIND("NeighMkt",$CX$102))=FALSE,LEFT($CW$111,10)="ALL OUTLET",$CA266&lt;&gt;"",DK266&lt;&gt;""),"",IF(AND($CV266&lt;&gt;$CW266,$CW266=CH$110),$DK266,"")),"")</f>
      </c>
      <c s="76">
        <f>IF(ISERROR(VLOOKUP(CV266,$AL$8:$AL$15,1,FALSE))=TRUE,IF(CH266&lt;&gt;"",IF(CH266&gt;0,RANK(CH266,$CH$111:$CH$300),""),""),"")</f>
      </c>
      <c s="75">
        <f>IF(ISERROR(VLOOKUP(CV266,$AL$8:$AL$15,1,FALSE))=TRUE,IF(AND(ISERROR(FIND("NeighMkt",$CX$102))=FALSE,LEFT($CW$111,10)="ALL OUTLET",$CA266&lt;&gt;"",DK266&lt;&gt;""),"",IF($Z$4="",IF(AND($CV266&lt;&gt;$CW266,$CW266=CJ$110),$DK266,""),IF(AND($CV266&lt;&gt;$CW266,$CW266&lt;&gt;CD$110,$CW266&lt;&gt;CF$110,$CW266&lt;&gt;CH$110,$CW266&lt;&gt;$CV$111),$DK266,""))),"")</f>
        <v>6026270.18945503</v>
      </c>
      <c s="76">
        <f>IF(ISERROR(VLOOKUP(CV266,$AL$8:$AL$15,1,FALSE))=TRUE,IF(CJ266&lt;&gt;"",IF(CJ266&gt;0,RANK(CJ266,$CJ$111:$CJ$300),""),""),"")</f>
        <v>6</v>
      </c>
      <c s="75">
        <f>IF(ISERROR(VLOOKUP(CV266,$AL$8:$AL$15,1,FALSE))=TRUE,IF(AND(CV266=CW266,CV266&lt;&gt;"",DJ266&lt;&gt;""),IF(AND(ISERROR(FIND("NeighMkt",$CX$102))=FALSE,LEFT($CW$111,10)="ALL OUTLET"),DJ266-IF(ISERROR(VLOOKUP(CV266,$CA$113:$DK$300,36,FALSE))=TRUE,0,IF(VLOOKUP(CV266,$CA$113:$DK$300,36,FALSE)="",0,VLOOKUP(CV266,$CA$113:$DK$300,36,FALSE))),DJ266),""),"")</f>
      </c>
      <c s="76">
        <f>IF(ISERROR(VLOOKUP(CV266,$AL$8:$AL$15,1,FALSE))=TRUE,IF(CL266&lt;&gt;"",IF(CL266&gt;0,IF($Z$4&lt;&gt;"",MIN(4,RANK(CL266,$CL$111:$CL$300)),RANK(CL266,$CL$111:$CL$300)),""),""),"")</f>
      </c>
      <c s="75">
        <f>IF(ISERROR(VLOOKUP(CV266,$AL$8:$AL$15,1,FALSE))=TRUE,IF(AND(ISERROR(FIND("NeighMkt",$CX$102))=FALSE,LEFT($CW$111,10)="ALL OUTLET",$CA266&lt;&gt;"",DJ266&lt;&gt;""),"",IF(AND($CV266&lt;&gt;$CW266,$CW266=CN$110),$DJ266,"")),"")</f>
      </c>
      <c s="76">
        <f>IF(ISERROR(VLOOKUP(CV266,$AL$8:$AL$15,1,FALSE))=TRUE,IF(CN266&lt;&gt;"",IF(CN266&gt;0,RANK(CN266,$CN$111:$CN$300),""),""),"")</f>
      </c>
      <c s="75">
        <f>IF(ISERROR(VLOOKUP(CV266,$AL$8:$AL$15,1,FALSE))=TRUE,IF(AND(ISERROR(FIND("NeighMkt",$CX$102))=FALSE,LEFT($CW$111,10)="ALL OUTLET",$CA266&lt;&gt;"",DJ266&lt;&gt;""),"",IF(AND($CV266&lt;&gt;$CW266,$CW266=CP$110),$DJ266,"")),"")</f>
      </c>
      <c s="76">
        <f>IF(ISERROR(VLOOKUP(CV266,$AL$8:$AL$15,1,FALSE))=TRUE,IF(CP266&lt;&gt;"",IF(CP266&gt;0,RANK(CP266,$CP$111:$CP$300),""),""),"")</f>
      </c>
      <c s="75">
        <f>IF(ISERROR(VLOOKUP(CV266,$AL$8:$AL$15,1,FALSE))=TRUE,IF(AND(ISERROR(FIND("NeighMkt",$CX$102))=FALSE,LEFT($CW$111,10)="ALL OUTLET",$CA266&lt;&gt;"",DJ266&lt;&gt;""),"",IF(AND($CV266&lt;&gt;$CW266,$CW266=CR$110),$DJ266,"")),"")</f>
      </c>
      <c s="76">
        <f>IF(ISERROR(VLOOKUP(CV266,$AL$8:$AL$15,1,FALSE))=TRUE,IF(CR266&lt;&gt;"",IF(CR266&gt;0,RANK(CR266,$CR$111:$CR$300),""),""),"")</f>
      </c>
      <c s="75">
        <f>IF(ISERROR(VLOOKUP(CV266,$AL$8:$AL$15,1,FALSE))=TRUE,IF(AND(ISERROR(FIND("NeighMkt",$CX$102))=FALSE,LEFT($CW$111,10)="ALL OUTLET",$CA266&lt;&gt;"",DJ266&lt;&gt;""),"",IF($Z$4="",IF(AND($CV266&lt;&gt;$CW266,$CW266=CT$110),$DJ266,""),IF(AND($CV266&lt;&gt;$CW266,$CW266&lt;&gt;CN$110,$CW266&lt;&gt;CP$110,$CW266&lt;&gt;CR$110,$CW266&lt;&gt;$CV$111),$DJ266,""))),"")</f>
        <v>15598401.8228078</v>
      </c>
      <c s="76">
        <f>IF(ISERROR(VLOOKUP(CV266,$AL$8:$AL$15,1,FALSE))=TRUE,IF(CT266&lt;&gt;"",IF(CT266&gt;0,RANK(CT266,$CT$111:$CT$300),""),""),"")</f>
        <v>8</v>
      </c>
      <c s="65" t="str">
        <f t="shared" si="47"/>
        <v>Big Lots</v>
      </c>
      <c s="65" t="str">
        <f t="shared" si="48"/>
        <v>Specialty Stores</v>
      </c>
      <c s="72" t="str">
        <f>IF('[1]Leakage Tree Data'!A165&lt;&gt;"",'[1]Leakage Tree Data'!A165,"")</f>
        <v>Total US - Big Lots</v>
      </c>
      <c s="72" t="str">
        <f>IF('[1]Leakage Tree Data'!B165&lt;&gt;"",'[1]Leakage Tree Data'!B165,"")</f>
        <v>Total US - Specialty Stores</v>
      </c>
      <c s="72">
        <f>IF('[1]Leakage Tree Data'!C165&lt;&gt;"",'[1]Leakage Tree Data'!C165,"")</f>
        <v>121171760.292236</v>
      </c>
      <c s="72">
        <f>IF('[1]Leakage Tree Data'!D165&lt;&gt;"",'[1]Leakage Tree Data'!D165,"")</f>
        <v>25173922.763031</v>
      </c>
      <c s="72">
        <f>IF('[1]Leakage Tree Data'!E165&lt;&gt;"",'[1]Leakage Tree Data'!E165,"")</f>
        <v>20.7754040234439</v>
      </c>
      <c s="72">
        <f>IF('[1]Leakage Tree Data'!F165&lt;&gt;"",'[1]Leakage Tree Data'!F165,"")</f>
        <v>95997837.5292053</v>
      </c>
      <c s="72">
        <f>IF('[1]Leakage Tree Data'!G165&lt;&gt;"",'[1]Leakage Tree Data'!G165,"")</f>
        <v>79.2245959765561</v>
      </c>
      <c s="72">
        <f>IF('[1]Leakage Tree Data'!H165&lt;&gt;"",'[1]Leakage Tree Data'!H165,"")</f>
        <v>61518209.9918823</v>
      </c>
      <c s="72" t="str">
        <f>IF('[1]Leakage Tree Data'!I165&lt;&gt;"",'[1]Leakage Tree Data'!I165,"")</f>
        <v>Specialty Stores</v>
      </c>
      <c s="72">
        <f>IF('[1]Leakage Tree Data'!J165&lt;&gt;"",'[1]Leakage Tree Data'!J165,"")</f>
        <v>96.6505926600777</v>
      </c>
      <c s="72">
        <f>IF('[1]Leakage Tree Data'!K165&lt;&gt;"",'[1]Leakage Tree Data'!K165,"")</f>
        <v>2060495.44085693</v>
      </c>
      <c s="72">
        <f>IF('[1]Leakage Tree Data'!L165&lt;&gt;"",'[1]Leakage Tree Data'!L165,"")</f>
        <v>6026270.18945503</v>
      </c>
      <c s="72">
        <f>IF('[1]Leakage Tree Data'!M165&lt;&gt;"",'[1]Leakage Tree Data'!M165,"")</f>
        <v>15598401.8228078</v>
      </c>
      <c s="72">
        <f>IF('[1]Leakage Tree Data'!N165&lt;&gt;"",'[1]Leakage Tree Data'!N165,"")</f>
        <v>6026270.18945503</v>
      </c>
      <c s="72">
        <f>IF('[1]Leakage Tree Data'!O165&lt;&gt;"",'[1]Leakage Tree Data'!O165,"")</f>
        <v>13.8396064881875</v>
      </c>
      <c s="72">
        <f>IF('[1]Leakage Tree Data'!P165&lt;&gt;"",'[1]Leakage Tree Data'!P165,"")</f>
        <v>2325334.7991042</v>
      </c>
      <c s="72">
        <f>IF('[1]Leakage Tree Data'!Q165&lt;&gt;"",'[1]Leakage Tree Data'!Q165,"")</f>
      </c>
      <c s="72">
        <f>IF('[1]Leakage Tree Data'!R165&lt;&gt;"",'[1]Leakage Tree Data'!R165,"")</f>
        <v>1017625.85098267</v>
      </c>
      <c s="72">
        <f>IF('[1]Leakage Tree Data'!S165&lt;&gt;"",'[1]Leakage Tree Data'!S165,"")</f>
        <v>-1753866.53997803</v>
      </c>
      <c s="72">
        <f>IF('[1]Leakage Tree Data'!T165&lt;&gt;"",'[1]Leakage Tree Data'!T165,"")</f>
        <v>-1.63563445494883</v>
      </c>
      <c s="72">
        <f>IF('[1]Leakage Tree Data'!U165&lt;&gt;"",'[1]Leakage Tree Data'!U165,"")</f>
        <v>2771492.39096069</v>
      </c>
      <c s="72">
        <f>IF('[1]Leakage Tree Data'!V165&lt;&gt;"",'[1]Leakage Tree Data'!V165,"")</f>
        <v>1.63563445494883</v>
      </c>
      <c s="72">
        <f>IF('[1]Leakage Tree Data'!W165&lt;&gt;"",'[1]Leakage Tree Data'!W165,"")</f>
        <v>-1855949.2237854</v>
      </c>
      <c s="72">
        <f>IF('[1]Leakage Tree Data'!X165&lt;&gt;"",'[1]Leakage Tree Data'!X165,"")</f>
      </c>
      <c s="72">
        <f>IF('[1]Leakage Tree Data'!Y165&lt;&gt;"",'[1]Leakage Tree Data'!Y165,"")</f>
        <v>0.145578043381676</v>
      </c>
      <c s="72">
        <f>IF('[1]Leakage Tree Data'!Z165&lt;&gt;"",'[1]Leakage Tree Data'!Z165,"")</f>
        <v>-154422.160522461</v>
      </c>
      <c s="72">
        <f>IF('[1]Leakage Tree Data'!AA165&lt;&gt;"",'[1]Leakage Tree Data'!AA165,"")</f>
        <v>-665427.471364975</v>
      </c>
      <c s="72">
        <f>IF('[1]Leakage Tree Data'!AB165&lt;&gt;"",'[1]Leakage Tree Data'!AB165,"")</f>
        <v>-3342279.69213247</v>
      </c>
      <c s="72">
        <f>IF('[1]Leakage Tree Data'!AC165&lt;&gt;"",'[1]Leakage Tree Data'!AC165,"")</f>
        <v>-665427.471364975</v>
      </c>
      <c s="72">
        <f>IF('[1]Leakage Tree Data'!AD165&lt;&gt;"",'[1]Leakage Tree Data'!AD165,"")</f>
        <v>0.317144792388563</v>
      </c>
      <c s="72">
        <f>IF('[1]Leakage Tree Data'!AE165&lt;&gt;"",'[1]Leakage Tree Data'!AE165,"")</f>
      </c>
      <c s="73">
        <f t="shared" si="49"/>
      </c>
      <c s="73">
        <f t="shared" si="50"/>
      </c>
      <c s="73">
        <f t="shared" si="51"/>
      </c>
      <c s="73">
        <f t="shared" si="52"/>
      </c>
      <c s="74">
        <f t="shared" si="53"/>
      </c>
      <c s="74">
        <f t="shared" si="54"/>
      </c>
      <c s="69" t="str">
        <f t="shared" si="55"/>
        <v>Total US - Big Lots</v>
      </c>
      <c s="69" t="str">
        <f t="shared" si="56"/>
        <v>Total US - Specialty Stores</v>
      </c>
    </row>
    <row r="267" spans="1:140" ht="15">
      <c r="A267"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267,$AL$8:$AL$15,1,FALSE))=TRUE,IF(AND(CV267=CW267,CV267&lt;&gt;"",DI$111&lt;&gt;"",DK267&lt;&gt;""),IF(CW$101="Y",DK267-IF(ISERROR(VLOOKUP(CV267,$CA$113:$DK$300,37,FALSE))=TRUE,0,IF(VLOOKUP(CV267,$CA$113:$DK$300,37,FALSE)="",0,VLOOKUP(CV267,$CA$113:$DK$300,37,FALSE))),DK267-IF(AND(CW$102="Y",CV267=$CW$111),DI$111,0)),""),"")</f>
      </c>
      <c s="76">
        <f>IF(ISERROR(VLOOKUP(CV267,$AL$8:$AL$15,1,FALSE))=TRUE,IF(CB267&lt;&gt;"",IF(CB267&gt;0,IF(Z$4&lt;&gt;"",MIN(4,RANK(CB267,$CB$111:$CB$300)),RANK(CB267,$CB$111:$CB$300)),""),""),"")</f>
      </c>
      <c s="75">
        <f>IF(ISERROR(VLOOKUP(CV267,$AL$8:$AL$15,1,FALSE))=TRUE,IF(AND(ISERROR(FIND("NeighMkt",$CX$102))=FALSE,LEFT($CW$111,10)="ALL OUTLET",$CA267&lt;&gt;"",DK267&lt;&gt;""),"",IF(AND($CV267&lt;&gt;$CW267,$CW267=CD$110),$DK267,"")),"")</f>
      </c>
      <c s="76">
        <f>IF(ISERROR(VLOOKUP(CV267,$AL$8:$AL$15,1,FALSE))=TRUE,IF(CD267&lt;&gt;"",IF(CD267&gt;0,RANK(CD267,$CD$111:$CD$300),""),""),"")</f>
      </c>
      <c s="75">
        <f>IF(ISERROR(VLOOKUP(CV267,$AL$8:$AL$15,1,FALSE))=TRUE,IF(AND(ISERROR(FIND("NeighMkt",$CX$102))=FALSE,LEFT($CW$111,10)="ALL OUTLET",$CA267&lt;&gt;"",DK267&lt;&gt;""),"",IF(AND($CV267&lt;&gt;$CW267,$CW267=CF$110),$DK267,"")),"")</f>
      </c>
      <c s="76">
        <f>IF(ISERROR(VLOOKUP(CV267,$AL$8:$AL$15,1,FALSE))=TRUE,IF(CF267&lt;&gt;"",IF(CF267&gt;0,RANK(CF267,$CF$111:$CF$300),""),""),"")</f>
      </c>
      <c s="75">
        <f>IF(ISERROR(VLOOKUP(CV267,$AL$8:$AL$15,1,FALSE))=TRUE,IF(AND(ISERROR(FIND("NeighMkt",$CX$102))=FALSE,LEFT($CW$111,10)="ALL OUTLET",$CA267&lt;&gt;"",DK267&lt;&gt;""),"",IF(AND($CV267&lt;&gt;$CW267,$CW267=CH$110),$DK267,"")),"")</f>
      </c>
      <c s="76">
        <f>IF(ISERROR(VLOOKUP(CV267,$AL$8:$AL$15,1,FALSE))=TRUE,IF(CH267&lt;&gt;"",IF(CH267&gt;0,RANK(CH267,$CH$111:$CH$300),""),""),"")</f>
      </c>
      <c s="75">
        <f>IF(ISERROR(VLOOKUP(CV267,$AL$8:$AL$15,1,FALSE))=TRUE,IF(AND(ISERROR(FIND("NeighMkt",$CX$102))=FALSE,LEFT($CW$111,10)="ALL OUTLET",$CA267&lt;&gt;"",DK267&lt;&gt;""),"",IF($Z$4="",IF(AND($CV267&lt;&gt;$CW267,$CW267=CJ$110),$DK267,""),IF(AND($CV267&lt;&gt;$CW267,$CW267&lt;&gt;CD$110,$CW267&lt;&gt;CF$110,$CW267&lt;&gt;CH$110,$CW267&lt;&gt;$CV$111),$DK267,""))),"")</f>
      </c>
      <c s="76">
        <f>IF(ISERROR(VLOOKUP(CV267,$AL$8:$AL$15,1,FALSE))=TRUE,IF(CJ267&lt;&gt;"",IF(CJ267&gt;0,RANK(CJ267,$CJ$111:$CJ$300),""),""),"")</f>
      </c>
      <c s="75">
        <f>IF(ISERROR(VLOOKUP(CV267,$AL$8:$AL$15,1,FALSE))=TRUE,IF(AND(CV267=CW267,CV267&lt;&gt;"",DJ267&lt;&gt;""),IF(AND(ISERROR(FIND("NeighMkt",$CX$102))=FALSE,LEFT($CW$111,10)="ALL OUTLET"),DJ267-IF(ISERROR(VLOOKUP(CV267,$CA$113:$DK$300,36,FALSE))=TRUE,0,IF(VLOOKUP(CV267,$CA$113:$DK$300,36,FALSE)="",0,VLOOKUP(CV267,$CA$113:$DK$300,36,FALSE))),DJ267),""),"")</f>
      </c>
      <c s="76">
        <f>IF(ISERROR(VLOOKUP(CV267,$AL$8:$AL$15,1,FALSE))=TRUE,IF(CL267&lt;&gt;"",IF(CL267&gt;0,IF($Z$4&lt;&gt;"",MIN(4,RANK(CL267,$CL$111:$CL$300)),RANK(CL267,$CL$111:$CL$300)),""),""),"")</f>
      </c>
      <c s="75">
        <f>IF(ISERROR(VLOOKUP(CV267,$AL$8:$AL$15,1,FALSE))=TRUE,IF(AND(ISERROR(FIND("NeighMkt",$CX$102))=FALSE,LEFT($CW$111,10)="ALL OUTLET",$CA267&lt;&gt;"",DJ267&lt;&gt;""),"",IF(AND($CV267&lt;&gt;$CW267,$CW267=CN$110),$DJ267,"")),"")</f>
      </c>
      <c s="76">
        <f>IF(ISERROR(VLOOKUP(CV267,$AL$8:$AL$15,1,FALSE))=TRUE,IF(CN267&lt;&gt;"",IF(CN267&gt;0,RANK(CN267,$CN$111:$CN$300),""),""),"")</f>
      </c>
      <c s="75">
        <f>IF(ISERROR(VLOOKUP(CV267,$AL$8:$AL$15,1,FALSE))=TRUE,IF(AND(ISERROR(FIND("NeighMkt",$CX$102))=FALSE,LEFT($CW$111,10)="ALL OUTLET",$CA267&lt;&gt;"",DJ267&lt;&gt;""),"",IF(AND($CV267&lt;&gt;$CW267,$CW267=CP$110),$DJ267,"")),"")</f>
      </c>
      <c s="76">
        <f>IF(ISERROR(VLOOKUP(CV267,$AL$8:$AL$15,1,FALSE))=TRUE,IF(CP267&lt;&gt;"",IF(CP267&gt;0,RANK(CP267,$CP$111:$CP$300),""),""),"")</f>
      </c>
      <c s="75">
        <f>IF(ISERROR(VLOOKUP(CV267,$AL$8:$AL$15,1,FALSE))=TRUE,IF(AND(ISERROR(FIND("NeighMkt",$CX$102))=FALSE,LEFT($CW$111,10)="ALL OUTLET",$CA267&lt;&gt;"",DJ267&lt;&gt;""),"",IF(AND($CV267&lt;&gt;$CW267,$CW267=CR$110),$DJ267,"")),"")</f>
      </c>
      <c s="76">
        <f>IF(ISERROR(VLOOKUP(CV267,$AL$8:$AL$15,1,FALSE))=TRUE,IF(CR267&lt;&gt;"",IF(CR267&gt;0,RANK(CR267,$CR$111:$CR$300),""),""),"")</f>
      </c>
      <c s="75">
        <f>IF(ISERROR(VLOOKUP(CV267,$AL$8:$AL$15,1,FALSE))=TRUE,IF(AND(ISERROR(FIND("NeighMkt",$CX$102))=FALSE,LEFT($CW$111,10)="ALL OUTLET",$CA267&lt;&gt;"",DJ267&lt;&gt;""),"",IF($Z$4="",IF(AND($CV267&lt;&gt;$CW267,$CW267=CT$110),$DJ267,""),IF(AND($CV267&lt;&gt;$CW267,$CW267&lt;&gt;CN$110,$CW267&lt;&gt;CP$110,$CW267&lt;&gt;CR$110,$CW267&lt;&gt;$CV$111),$DJ267,""))),"")</f>
      </c>
      <c s="76">
        <f>IF(ISERROR(VLOOKUP(CV267,$AL$8:$AL$15,1,FALSE))=TRUE,IF(CT267&lt;&gt;"",IF(CT267&gt;0,RANK(CT267,$CT$111:$CT$300),""),""),"")</f>
      </c>
      <c s="65" t="str">
        <f t="shared" si="47"/>
        <v>Cost Plus World Market</v>
      </c>
      <c s="65" t="str">
        <f t="shared" si="48"/>
        <v>Specialty Stores</v>
      </c>
      <c s="72" t="str">
        <f>IF('[1]Leakage Tree Data'!A166&lt;&gt;"",'[1]Leakage Tree Data'!A166,"")</f>
        <v>Total US - Cost Plus World Market</v>
      </c>
      <c s="72" t="str">
        <f>IF('[1]Leakage Tree Data'!B166&lt;&gt;"",'[1]Leakage Tree Data'!B166,"")</f>
        <v>Total US - Specialty Stores</v>
      </c>
      <c s="72">
        <f>IF('[1]Leakage Tree Data'!C166&lt;&gt;"",'[1]Leakage Tree Data'!C166,"")</f>
        <v>121171760.292236</v>
      </c>
      <c s="72">
        <f>IF('[1]Leakage Tree Data'!D166&lt;&gt;"",'[1]Leakage Tree Data'!D166,"")</f>
        <v>3773851.12518311</v>
      </c>
      <c s="72">
        <f>IF('[1]Leakage Tree Data'!E166&lt;&gt;"",'[1]Leakage Tree Data'!E166,"")</f>
        <v>3.11446422506491</v>
      </c>
      <c s="72">
        <f>IF('[1]Leakage Tree Data'!F166&lt;&gt;"",'[1]Leakage Tree Data'!F166,"")</f>
        <v>117397909.167053</v>
      </c>
      <c s="72">
        <f>IF('[1]Leakage Tree Data'!G166&lt;&gt;"",'[1]Leakage Tree Data'!G166,"")</f>
        <v>96.8855357749351</v>
      </c>
      <c s="72">
        <f>IF('[1]Leakage Tree Data'!H166&lt;&gt;"",'[1]Leakage Tree Data'!H166,"")</f>
        <v>61518209.9918823</v>
      </c>
      <c s="72" t="str">
        <f>IF('[1]Leakage Tree Data'!I166&lt;&gt;"",'[1]Leakage Tree Data'!I166,"")</f>
        <v>Specialty Stores</v>
      </c>
      <c s="72">
        <f>IF('[1]Leakage Tree Data'!J166&lt;&gt;"",'[1]Leakage Tree Data'!J166,"")</f>
      </c>
      <c s="72">
        <f>IF('[1]Leakage Tree Data'!K166&lt;&gt;"",'[1]Leakage Tree Data'!K166,"")</f>
      </c>
      <c s="72">
        <f>IF('[1]Leakage Tree Data'!L166&lt;&gt;"",'[1]Leakage Tree Data'!L166,"")</f>
      </c>
      <c s="72">
        <f>IF('[1]Leakage Tree Data'!M166&lt;&gt;"",'[1]Leakage Tree Data'!M166,"")</f>
      </c>
      <c s="72">
        <f>IF('[1]Leakage Tree Data'!N166&lt;&gt;"",'[1]Leakage Tree Data'!N166,"")</f>
      </c>
      <c s="72">
        <f>IF('[1]Leakage Tree Data'!O166&lt;&gt;"",'[1]Leakage Tree Data'!O166,"")</f>
      </c>
      <c s="72">
        <f>IF('[1]Leakage Tree Data'!P166&lt;&gt;"",'[1]Leakage Tree Data'!P166,"")</f>
      </c>
      <c s="72">
        <f>IF('[1]Leakage Tree Data'!Q166&lt;&gt;"",'[1]Leakage Tree Data'!Q166,"")</f>
      </c>
      <c s="72">
        <f>IF('[1]Leakage Tree Data'!R166&lt;&gt;"",'[1]Leakage Tree Data'!R166,"")</f>
        <v>1017625.85098267</v>
      </c>
      <c s="72">
        <f>IF('[1]Leakage Tree Data'!S166&lt;&gt;"",'[1]Leakage Tree Data'!S166,"")</f>
        <v>-148233.384613037</v>
      </c>
      <c s="72">
        <f>IF('[1]Leakage Tree Data'!T166&lt;&gt;"",'[1]Leakage Tree Data'!T166,"")</f>
        <v>-0.149746805237797</v>
      </c>
      <c s="72">
        <f>IF('[1]Leakage Tree Data'!U166&lt;&gt;"",'[1]Leakage Tree Data'!U166,"")</f>
        <v>1165859.2355957</v>
      </c>
      <c s="72">
        <f>IF('[1]Leakage Tree Data'!V166&lt;&gt;"",'[1]Leakage Tree Data'!V166,"")</f>
        <v>0.149746805237797</v>
      </c>
      <c s="72">
        <f>IF('[1]Leakage Tree Data'!W166&lt;&gt;"",'[1]Leakage Tree Data'!W166,"")</f>
        <v>-1855949.2237854</v>
      </c>
      <c s="72">
        <f>IF('[1]Leakage Tree Data'!X166&lt;&gt;"",'[1]Leakage Tree Data'!X166,"")</f>
      </c>
      <c s="72">
        <f>IF('[1]Leakage Tree Data'!Y166&lt;&gt;"",'[1]Leakage Tree Data'!Y166,"")</f>
      </c>
      <c s="72">
        <f>IF('[1]Leakage Tree Data'!Z166&lt;&gt;"",'[1]Leakage Tree Data'!Z166,"")</f>
      </c>
      <c s="72">
        <f>IF('[1]Leakage Tree Data'!AA166&lt;&gt;"",'[1]Leakage Tree Data'!AA166,"")</f>
      </c>
      <c s="72">
        <f>IF('[1]Leakage Tree Data'!AB166&lt;&gt;"",'[1]Leakage Tree Data'!AB166,"")</f>
      </c>
      <c s="72">
        <f>IF('[1]Leakage Tree Data'!AC166&lt;&gt;"",'[1]Leakage Tree Data'!AC166,"")</f>
      </c>
      <c s="72">
        <f>IF('[1]Leakage Tree Data'!AD166&lt;&gt;"",'[1]Leakage Tree Data'!AD166,"")</f>
      </c>
      <c s="72">
        <f>IF('[1]Leakage Tree Data'!AE166&lt;&gt;"",'[1]Leakage Tree Data'!AE166,"")</f>
      </c>
      <c s="73">
        <f t="shared" si="49"/>
      </c>
      <c s="73">
        <f t="shared" si="50"/>
      </c>
      <c s="73">
        <f t="shared" si="51"/>
      </c>
      <c s="73">
        <f t="shared" si="52"/>
      </c>
      <c s="74">
        <f t="shared" si="53"/>
      </c>
      <c s="74">
        <f t="shared" si="54"/>
      </c>
      <c s="69" t="str">
        <f t="shared" si="55"/>
        <v>Total US - Cost Plus World Market</v>
      </c>
      <c s="69" t="str">
        <f t="shared" si="56"/>
        <v>Total US - Specialty Stores</v>
      </c>
    </row>
    <row r="268" spans="1:140" ht="15">
      <c r="A268"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268,$AL$8:$AL$15,1,FALSE))=TRUE,IF(AND(CV268=CW268,CV268&lt;&gt;"",DI$111&lt;&gt;"",DK268&lt;&gt;""),IF(CW$101="Y",DK268-IF(ISERROR(VLOOKUP(CV268,$CA$113:$DK$300,37,FALSE))=TRUE,0,IF(VLOOKUP(CV268,$CA$113:$DK$300,37,FALSE)="",0,VLOOKUP(CV268,$CA$113:$DK$300,37,FALSE))),DK268-IF(AND(CW$102="Y",CV268=$CW$111),DI$111,0)),""),"")</f>
      </c>
      <c s="76">
        <f>IF(ISERROR(VLOOKUP(CV268,$AL$8:$AL$15,1,FALSE))=TRUE,IF(CB268&lt;&gt;"",IF(CB268&gt;0,IF(Z$4&lt;&gt;"",MIN(4,RANK(CB268,$CB$111:$CB$300)),RANK(CB268,$CB$111:$CB$300)),""),""),"")</f>
      </c>
      <c s="75">
        <f>IF(ISERROR(VLOOKUP(CV268,$AL$8:$AL$15,1,FALSE))=TRUE,IF(AND(ISERROR(FIND("NeighMkt",$CX$102))=FALSE,LEFT($CW$111,10)="ALL OUTLET",$CA268&lt;&gt;"",DK268&lt;&gt;""),"",IF(AND($CV268&lt;&gt;$CW268,$CW268=CD$110),$DK268,"")),"")</f>
      </c>
      <c s="76">
        <f>IF(ISERROR(VLOOKUP(CV268,$AL$8:$AL$15,1,FALSE))=TRUE,IF(CD268&lt;&gt;"",IF(CD268&gt;0,RANK(CD268,$CD$111:$CD$300),""),""),"")</f>
      </c>
      <c s="75">
        <f>IF(ISERROR(VLOOKUP(CV268,$AL$8:$AL$15,1,FALSE))=TRUE,IF(AND(ISERROR(FIND("NeighMkt",$CX$102))=FALSE,LEFT($CW$111,10)="ALL OUTLET",$CA268&lt;&gt;"",DK268&lt;&gt;""),"",IF(AND($CV268&lt;&gt;$CW268,$CW268=CF$110),$DK268,"")),"")</f>
      </c>
      <c s="76">
        <f>IF(ISERROR(VLOOKUP(CV268,$AL$8:$AL$15,1,FALSE))=TRUE,IF(CF268&lt;&gt;"",IF(CF268&gt;0,RANK(CF268,$CF$111:$CF$300),""),""),"")</f>
      </c>
      <c s="75">
        <f>IF(ISERROR(VLOOKUP(CV268,$AL$8:$AL$15,1,FALSE))=TRUE,IF(AND(ISERROR(FIND("NeighMkt",$CX$102))=FALSE,LEFT($CW$111,10)="ALL OUTLET",$CA268&lt;&gt;"",DK268&lt;&gt;""),"",IF(AND($CV268&lt;&gt;$CW268,$CW268=CH$110),$DK268,"")),"")</f>
      </c>
      <c s="76">
        <f>IF(ISERROR(VLOOKUP(CV268,$AL$8:$AL$15,1,FALSE))=TRUE,IF(CH268&lt;&gt;"",IF(CH268&gt;0,RANK(CH268,$CH$111:$CH$300),""),""),"")</f>
      </c>
      <c s="75">
        <f>IF(ISERROR(VLOOKUP(CV268,$AL$8:$AL$15,1,FALSE))=TRUE,IF(AND(ISERROR(FIND("NeighMkt",$CX$102))=FALSE,LEFT($CW$111,10)="ALL OUTLET",$CA268&lt;&gt;"",DK268&lt;&gt;""),"",IF($Z$4="",IF(AND($CV268&lt;&gt;$CW268,$CW268=CJ$110),$DK268,""),IF(AND($CV268&lt;&gt;$CW268,$CW268&lt;&gt;CD$110,$CW268&lt;&gt;CF$110,$CW268&lt;&gt;CH$110,$CW268&lt;&gt;$CV$111),$DK268,""))),"")</f>
      </c>
      <c s="76">
        <f>IF(ISERROR(VLOOKUP(CV268,$AL$8:$AL$15,1,FALSE))=TRUE,IF(CJ268&lt;&gt;"",IF(CJ268&gt;0,RANK(CJ268,$CJ$111:$CJ$300),""),""),"")</f>
      </c>
      <c s="75">
        <f>IF(ISERROR(VLOOKUP(CV268,$AL$8:$AL$15,1,FALSE))=TRUE,IF(AND(CV268=CW268,CV268&lt;&gt;"",DJ268&lt;&gt;""),IF(AND(ISERROR(FIND("NeighMkt",$CX$102))=FALSE,LEFT($CW$111,10)="ALL OUTLET"),DJ268-IF(ISERROR(VLOOKUP(CV268,$CA$113:$DK$300,36,FALSE))=TRUE,0,IF(VLOOKUP(CV268,$CA$113:$DK$300,36,FALSE)="",0,VLOOKUP(CV268,$CA$113:$DK$300,36,FALSE))),DJ268),""),"")</f>
      </c>
      <c s="76">
        <f>IF(ISERROR(VLOOKUP(CV268,$AL$8:$AL$15,1,FALSE))=TRUE,IF(CL268&lt;&gt;"",IF(CL268&gt;0,IF($Z$4&lt;&gt;"",MIN(4,RANK(CL268,$CL$111:$CL$300)),RANK(CL268,$CL$111:$CL$300)),""),""),"")</f>
      </c>
      <c s="75">
        <f>IF(ISERROR(VLOOKUP(CV268,$AL$8:$AL$15,1,FALSE))=TRUE,IF(AND(ISERROR(FIND("NeighMkt",$CX$102))=FALSE,LEFT($CW$111,10)="ALL OUTLET",$CA268&lt;&gt;"",DJ268&lt;&gt;""),"",IF(AND($CV268&lt;&gt;$CW268,$CW268=CN$110),$DJ268,"")),"")</f>
      </c>
      <c s="76">
        <f>IF(ISERROR(VLOOKUP(CV268,$AL$8:$AL$15,1,FALSE))=TRUE,IF(CN268&lt;&gt;"",IF(CN268&gt;0,RANK(CN268,$CN$111:$CN$300),""),""),"")</f>
      </c>
      <c s="75">
        <f>IF(ISERROR(VLOOKUP(CV268,$AL$8:$AL$15,1,FALSE))=TRUE,IF(AND(ISERROR(FIND("NeighMkt",$CX$102))=FALSE,LEFT($CW$111,10)="ALL OUTLET",$CA268&lt;&gt;"",DJ268&lt;&gt;""),"",IF(AND($CV268&lt;&gt;$CW268,$CW268=CP$110),$DJ268,"")),"")</f>
      </c>
      <c s="76">
        <f>IF(ISERROR(VLOOKUP(CV268,$AL$8:$AL$15,1,FALSE))=TRUE,IF(CP268&lt;&gt;"",IF(CP268&gt;0,RANK(CP268,$CP$111:$CP$300),""),""),"")</f>
      </c>
      <c s="75">
        <f>IF(ISERROR(VLOOKUP(CV268,$AL$8:$AL$15,1,FALSE))=TRUE,IF(AND(ISERROR(FIND("NeighMkt",$CX$102))=FALSE,LEFT($CW$111,10)="ALL OUTLET",$CA268&lt;&gt;"",DJ268&lt;&gt;""),"",IF(AND($CV268&lt;&gt;$CW268,$CW268=CR$110),$DJ268,"")),"")</f>
      </c>
      <c s="76">
        <f>IF(ISERROR(VLOOKUP(CV268,$AL$8:$AL$15,1,FALSE))=TRUE,IF(CR268&lt;&gt;"",IF(CR268&gt;0,RANK(CR268,$CR$111:$CR$300),""),""),"")</f>
      </c>
      <c s="75">
        <f>IF(ISERROR(VLOOKUP(CV268,$AL$8:$AL$15,1,FALSE))=TRUE,IF(AND(ISERROR(FIND("NeighMkt",$CX$102))=FALSE,LEFT($CW$111,10)="ALL OUTLET",$CA268&lt;&gt;"",DJ268&lt;&gt;""),"",IF($Z$4="",IF(AND($CV268&lt;&gt;$CW268,$CW268=CT$110),$DJ268,""),IF(AND($CV268&lt;&gt;$CW268,$CW268&lt;&gt;CN$110,$CW268&lt;&gt;CP$110,$CW268&lt;&gt;CR$110,$CW268&lt;&gt;$CV$111),$DJ268,""))),"")</f>
      </c>
      <c s="76">
        <f>IF(ISERROR(VLOOKUP(CV268,$AL$8:$AL$15,1,FALSE))=TRUE,IF(CT268&lt;&gt;"",IF(CT268&gt;0,RANK(CT268,$CT$111:$CT$300),""),""),"")</f>
      </c>
      <c s="65" t="str">
        <f t="shared" si="47"/>
        <v>Kohls</v>
      </c>
      <c s="65" t="str">
        <f t="shared" si="48"/>
        <v>Specialty Stores</v>
      </c>
      <c s="72" t="str">
        <f>IF('[1]Leakage Tree Data'!A167&lt;&gt;"",'[1]Leakage Tree Data'!A167,"")</f>
        <v>Total US - Kohls</v>
      </c>
      <c s="72" t="str">
        <f>IF('[1]Leakage Tree Data'!B167&lt;&gt;"",'[1]Leakage Tree Data'!B167,"")</f>
        <v>Total US - Specialty Stores</v>
      </c>
      <c s="72">
        <f>IF('[1]Leakage Tree Data'!C167&lt;&gt;"",'[1]Leakage Tree Data'!C167,"")</f>
        <v>121171760.292236</v>
      </c>
      <c s="72">
        <f>IF('[1]Leakage Tree Data'!D167&lt;&gt;"",'[1]Leakage Tree Data'!D167,"")</f>
        <v>34606284.1588135</v>
      </c>
      <c s="72">
        <f>IF('[1]Leakage Tree Data'!E167&lt;&gt;"",'[1]Leakage Tree Data'!E167,"")</f>
        <v>28.5596941691296</v>
      </c>
      <c s="72">
        <f>IF('[1]Leakage Tree Data'!F167&lt;&gt;"",'[1]Leakage Tree Data'!F167,"")</f>
        <v>86565476.1334229</v>
      </c>
      <c s="72">
        <f>IF('[1]Leakage Tree Data'!G167&lt;&gt;"",'[1]Leakage Tree Data'!G167,"")</f>
        <v>71.4403058308704</v>
      </c>
      <c s="72">
        <f>IF('[1]Leakage Tree Data'!H167&lt;&gt;"",'[1]Leakage Tree Data'!H167,"")</f>
        <v>61518209.9918823</v>
      </c>
      <c s="72" t="str">
        <f>IF('[1]Leakage Tree Data'!I167&lt;&gt;"",'[1]Leakage Tree Data'!I167,"")</f>
        <v>Specialty Stores</v>
      </c>
      <c s="72">
        <f>IF('[1]Leakage Tree Data'!J167&lt;&gt;"",'[1]Leakage Tree Data'!J167,"")</f>
      </c>
      <c s="72">
        <f>IF('[1]Leakage Tree Data'!K167&lt;&gt;"",'[1]Leakage Tree Data'!K167,"")</f>
      </c>
      <c s="72">
        <f>IF('[1]Leakage Tree Data'!L167&lt;&gt;"",'[1]Leakage Tree Data'!L167,"")</f>
      </c>
      <c s="72">
        <f>IF('[1]Leakage Tree Data'!M167&lt;&gt;"",'[1]Leakage Tree Data'!M167,"")</f>
      </c>
      <c s="72">
        <f>IF('[1]Leakage Tree Data'!N167&lt;&gt;"",'[1]Leakage Tree Data'!N167,"")</f>
      </c>
      <c s="72">
        <f>IF('[1]Leakage Tree Data'!O167&lt;&gt;"",'[1]Leakage Tree Data'!O167,"")</f>
      </c>
      <c s="72">
        <f>IF('[1]Leakage Tree Data'!P167&lt;&gt;"",'[1]Leakage Tree Data'!P167,"")</f>
      </c>
      <c s="72">
        <f>IF('[1]Leakage Tree Data'!Q167&lt;&gt;"",'[1]Leakage Tree Data'!Q167,"")</f>
      </c>
      <c s="72">
        <f>IF('[1]Leakage Tree Data'!R167&lt;&gt;"",'[1]Leakage Tree Data'!R167,"")</f>
        <v>1017625.85098267</v>
      </c>
      <c s="72">
        <f>IF('[1]Leakage Tree Data'!S167&lt;&gt;"",'[1]Leakage Tree Data'!S167,"")</f>
        <v>-1779445.8371582</v>
      </c>
      <c s="72">
        <f>IF('[1]Leakage Tree Data'!T167&lt;&gt;"",'[1]Leakage Tree Data'!T167,"")</f>
        <v>-1.72285096772676</v>
      </c>
      <c s="72">
        <f>IF('[1]Leakage Tree Data'!U167&lt;&gt;"",'[1]Leakage Tree Data'!U167,"")</f>
        <v>2797071.68814087</v>
      </c>
      <c s="72">
        <f>IF('[1]Leakage Tree Data'!V167&lt;&gt;"",'[1]Leakage Tree Data'!V167,"")</f>
        <v>1.72285096772676</v>
      </c>
      <c s="72">
        <f>IF('[1]Leakage Tree Data'!W167&lt;&gt;"",'[1]Leakage Tree Data'!W167,"")</f>
        <v>-1855949.2237854</v>
      </c>
      <c s="72">
        <f>IF('[1]Leakage Tree Data'!X167&lt;&gt;"",'[1]Leakage Tree Data'!X167,"")</f>
      </c>
      <c s="72">
        <f>IF('[1]Leakage Tree Data'!Y167&lt;&gt;"",'[1]Leakage Tree Data'!Y167,"")</f>
      </c>
      <c s="72">
        <f>IF('[1]Leakage Tree Data'!Z167&lt;&gt;"",'[1]Leakage Tree Data'!Z167,"")</f>
      </c>
      <c s="72">
        <f>IF('[1]Leakage Tree Data'!AA167&lt;&gt;"",'[1]Leakage Tree Data'!AA167,"")</f>
      </c>
      <c s="72">
        <f>IF('[1]Leakage Tree Data'!AB167&lt;&gt;"",'[1]Leakage Tree Data'!AB167,"")</f>
      </c>
      <c s="72">
        <f>IF('[1]Leakage Tree Data'!AC167&lt;&gt;"",'[1]Leakage Tree Data'!AC167,"")</f>
      </c>
      <c s="72">
        <f>IF('[1]Leakage Tree Data'!AD167&lt;&gt;"",'[1]Leakage Tree Data'!AD167,"")</f>
      </c>
      <c s="72">
        <f>IF('[1]Leakage Tree Data'!AE167&lt;&gt;"",'[1]Leakage Tree Data'!AE167,"")</f>
      </c>
      <c s="73">
        <f t="shared" si="49"/>
      </c>
      <c s="73">
        <f t="shared" si="50"/>
      </c>
      <c s="73">
        <f t="shared" si="51"/>
      </c>
      <c s="73">
        <f t="shared" si="52"/>
      </c>
      <c s="74">
        <f t="shared" si="53"/>
      </c>
      <c s="74">
        <f t="shared" si="54"/>
      </c>
      <c s="69" t="str">
        <f t="shared" si="55"/>
        <v>Total US - Kohls</v>
      </c>
      <c s="69" t="str">
        <f t="shared" si="56"/>
        <v>Total US - Specialty Stores</v>
      </c>
    </row>
    <row r="269" spans="1:140" ht="15">
      <c r="A269"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269,$AL$8:$AL$15,1,FALSE))=TRUE,IF(AND(CV269=CW269,CV269&lt;&gt;"",DI$111&lt;&gt;"",DK269&lt;&gt;""),IF(CW$101="Y",DK269-IF(ISERROR(VLOOKUP(CV269,$CA$113:$DK$300,37,FALSE))=TRUE,0,IF(VLOOKUP(CV269,$CA$113:$DK$300,37,FALSE)="",0,VLOOKUP(CV269,$CA$113:$DK$300,37,FALSE))),DK269-IF(AND(CW$102="Y",CV269=$CW$111),DI$111,0)),""),"")</f>
      </c>
      <c s="76">
        <f>IF(ISERROR(VLOOKUP(CV269,$AL$8:$AL$15,1,FALSE))=TRUE,IF(CB269&lt;&gt;"",IF(CB269&gt;0,IF(Z$4&lt;&gt;"",MIN(4,RANK(CB269,$CB$111:$CB$300)),RANK(CB269,$CB$111:$CB$300)),""),""),"")</f>
      </c>
      <c s="75">
        <f>IF(ISERROR(VLOOKUP(CV269,$AL$8:$AL$15,1,FALSE))=TRUE,IF(AND(ISERROR(FIND("NeighMkt",$CX$102))=FALSE,LEFT($CW$111,10)="ALL OUTLET",$CA269&lt;&gt;"",DK269&lt;&gt;""),"",IF(AND($CV269&lt;&gt;$CW269,$CW269=CD$110),$DK269,"")),"")</f>
      </c>
      <c s="76">
        <f>IF(ISERROR(VLOOKUP(CV269,$AL$8:$AL$15,1,FALSE))=TRUE,IF(CD269&lt;&gt;"",IF(CD269&gt;0,RANK(CD269,$CD$111:$CD$300),""),""),"")</f>
      </c>
      <c s="75">
        <f>IF(ISERROR(VLOOKUP(CV269,$AL$8:$AL$15,1,FALSE))=TRUE,IF(AND(ISERROR(FIND("NeighMkt",$CX$102))=FALSE,LEFT($CW$111,10)="ALL OUTLET",$CA269&lt;&gt;"",DK269&lt;&gt;""),"",IF(AND($CV269&lt;&gt;$CW269,$CW269=CF$110),$DK269,"")),"")</f>
      </c>
      <c s="76">
        <f>IF(ISERROR(VLOOKUP(CV269,$AL$8:$AL$15,1,FALSE))=TRUE,IF(CF269&lt;&gt;"",IF(CF269&gt;0,RANK(CF269,$CF$111:$CF$300),""),""),"")</f>
      </c>
      <c s="75">
        <f>IF(ISERROR(VLOOKUP(CV269,$AL$8:$AL$15,1,FALSE))=TRUE,IF(AND(ISERROR(FIND("NeighMkt",$CX$102))=FALSE,LEFT($CW$111,10)="ALL OUTLET",$CA269&lt;&gt;"",DK269&lt;&gt;""),"",IF(AND($CV269&lt;&gt;$CW269,$CW269=CH$110),$DK269,"")),"")</f>
      </c>
      <c s="76">
        <f>IF(ISERROR(VLOOKUP(CV269,$AL$8:$AL$15,1,FALSE))=TRUE,IF(CH269&lt;&gt;"",IF(CH269&gt;0,RANK(CH269,$CH$111:$CH$300),""),""),"")</f>
      </c>
      <c s="75">
        <f>IF(ISERROR(VLOOKUP(CV269,$AL$8:$AL$15,1,FALSE))=TRUE,IF(AND(ISERROR(FIND("NeighMkt",$CX$102))=FALSE,LEFT($CW$111,10)="ALL OUTLET",$CA269&lt;&gt;"",DK269&lt;&gt;""),"",IF($Z$4="",IF(AND($CV269&lt;&gt;$CW269,$CW269=CJ$110),$DK269,""),IF(AND($CV269&lt;&gt;$CW269,$CW269&lt;&gt;CD$110,$CW269&lt;&gt;CF$110,$CW269&lt;&gt;CH$110,$CW269&lt;&gt;$CV$111),$DK269,""))),"")</f>
      </c>
      <c s="76">
        <f>IF(ISERROR(VLOOKUP(CV269,$AL$8:$AL$15,1,FALSE))=TRUE,IF(CJ269&lt;&gt;"",IF(CJ269&gt;0,RANK(CJ269,$CJ$111:$CJ$300),""),""),"")</f>
      </c>
      <c s="75">
        <f>IF(ISERROR(VLOOKUP(CV269,$AL$8:$AL$15,1,FALSE))=TRUE,IF(AND(CV269=CW269,CV269&lt;&gt;"",DJ269&lt;&gt;""),IF(AND(ISERROR(FIND("NeighMkt",$CX$102))=FALSE,LEFT($CW$111,10)="ALL OUTLET"),DJ269-IF(ISERROR(VLOOKUP(CV269,$CA$113:$DK$300,36,FALSE))=TRUE,0,IF(VLOOKUP(CV269,$CA$113:$DK$300,36,FALSE)="",0,VLOOKUP(CV269,$CA$113:$DK$300,36,FALSE))),DJ269),""),"")</f>
      </c>
      <c s="76">
        <f>IF(ISERROR(VLOOKUP(CV269,$AL$8:$AL$15,1,FALSE))=TRUE,IF(CL269&lt;&gt;"",IF(CL269&gt;0,IF($Z$4&lt;&gt;"",MIN(4,RANK(CL269,$CL$111:$CL$300)),RANK(CL269,$CL$111:$CL$300)),""),""),"")</f>
      </c>
      <c s="75">
        <f>IF(ISERROR(VLOOKUP(CV269,$AL$8:$AL$15,1,FALSE))=TRUE,IF(AND(ISERROR(FIND("NeighMkt",$CX$102))=FALSE,LEFT($CW$111,10)="ALL OUTLET",$CA269&lt;&gt;"",DJ269&lt;&gt;""),"",IF(AND($CV269&lt;&gt;$CW269,$CW269=CN$110),$DJ269,"")),"")</f>
      </c>
      <c s="76">
        <f>IF(ISERROR(VLOOKUP(CV269,$AL$8:$AL$15,1,FALSE))=TRUE,IF(CN269&lt;&gt;"",IF(CN269&gt;0,RANK(CN269,$CN$111:$CN$300),""),""),"")</f>
      </c>
      <c s="75">
        <f>IF(ISERROR(VLOOKUP(CV269,$AL$8:$AL$15,1,FALSE))=TRUE,IF(AND(ISERROR(FIND("NeighMkt",$CX$102))=FALSE,LEFT($CW$111,10)="ALL OUTLET",$CA269&lt;&gt;"",DJ269&lt;&gt;""),"",IF(AND($CV269&lt;&gt;$CW269,$CW269=CP$110),$DJ269,"")),"")</f>
      </c>
      <c s="76">
        <f>IF(ISERROR(VLOOKUP(CV269,$AL$8:$AL$15,1,FALSE))=TRUE,IF(CP269&lt;&gt;"",IF(CP269&gt;0,RANK(CP269,$CP$111:$CP$300),""),""),"")</f>
      </c>
      <c s="75">
        <f>IF(ISERROR(VLOOKUP(CV269,$AL$8:$AL$15,1,FALSE))=TRUE,IF(AND(ISERROR(FIND("NeighMkt",$CX$102))=FALSE,LEFT($CW$111,10)="ALL OUTLET",$CA269&lt;&gt;"",DJ269&lt;&gt;""),"",IF(AND($CV269&lt;&gt;$CW269,$CW269=CR$110),$DJ269,"")),"")</f>
      </c>
      <c s="76">
        <f>IF(ISERROR(VLOOKUP(CV269,$AL$8:$AL$15,1,FALSE))=TRUE,IF(CR269&lt;&gt;"",IF(CR269&gt;0,RANK(CR269,$CR$111:$CR$300),""),""),"")</f>
      </c>
      <c s="75">
        <f>IF(ISERROR(VLOOKUP(CV269,$AL$8:$AL$15,1,FALSE))=TRUE,IF(AND(ISERROR(FIND("NeighMkt",$CX$102))=FALSE,LEFT($CW$111,10)="ALL OUTLET",$CA269&lt;&gt;"",DJ269&lt;&gt;""),"",IF($Z$4="",IF(AND($CV269&lt;&gt;$CW269,$CW269=CT$110),$DJ269,""),IF(AND($CV269&lt;&gt;$CW269,$CW269&lt;&gt;CN$110,$CW269&lt;&gt;CP$110,$CW269&lt;&gt;CR$110,$CW269&lt;&gt;$CV$111),$DJ269,""))),"")</f>
      </c>
      <c s="76">
        <f>IF(ISERROR(VLOOKUP(CV269,$AL$8:$AL$15,1,FALSE))=TRUE,IF(CT269&lt;&gt;"",IF(CT269&gt;0,RANK(CT269,$CT$111:$CT$300),""),""),"")</f>
      </c>
      <c s="65" t="str">
        <f t="shared" si="47"/>
        <v>Office Depot / Office Max</v>
      </c>
      <c s="65" t="str">
        <f t="shared" si="48"/>
        <v>Specialty Stores</v>
      </c>
      <c s="72" t="str">
        <f>IF('[1]Leakage Tree Data'!A168&lt;&gt;"",'[1]Leakage Tree Data'!A168,"")</f>
        <v>Total US - Office Depot / Office Max</v>
      </c>
      <c s="72" t="str">
        <f>IF('[1]Leakage Tree Data'!B168&lt;&gt;"",'[1]Leakage Tree Data'!B168,"")</f>
        <v>Total US - Specialty Stores</v>
      </c>
      <c s="72">
        <f>IF('[1]Leakage Tree Data'!C168&lt;&gt;"",'[1]Leakage Tree Data'!C168,"")</f>
        <v>121171760.292236</v>
      </c>
      <c s="72">
        <f>IF('[1]Leakage Tree Data'!D168&lt;&gt;"",'[1]Leakage Tree Data'!D168,"")</f>
        <v>18011089.6371765</v>
      </c>
      <c s="72">
        <f>IF('[1]Leakage Tree Data'!E168&lt;&gt;"",'[1]Leakage Tree Data'!E168,"")</f>
        <v>14.8640983623067</v>
      </c>
      <c s="72">
        <f>IF('[1]Leakage Tree Data'!F168&lt;&gt;"",'[1]Leakage Tree Data'!F168,"")</f>
        <v>103160670.65506</v>
      </c>
      <c s="72">
        <f>IF('[1]Leakage Tree Data'!G168&lt;&gt;"",'[1]Leakage Tree Data'!G168,"")</f>
        <v>85.1359016376933</v>
      </c>
      <c s="72">
        <f>IF('[1]Leakage Tree Data'!H168&lt;&gt;"",'[1]Leakage Tree Data'!H168,"")</f>
        <v>61518209.9918823</v>
      </c>
      <c s="72" t="str">
        <f>IF('[1]Leakage Tree Data'!I168&lt;&gt;"",'[1]Leakage Tree Data'!I168,"")</f>
        <v>Specialty Stores</v>
      </c>
      <c s="72">
        <f>IF('[1]Leakage Tree Data'!J168&lt;&gt;"",'[1]Leakage Tree Data'!J168,"")</f>
      </c>
      <c s="72">
        <f>IF('[1]Leakage Tree Data'!K168&lt;&gt;"",'[1]Leakage Tree Data'!K168,"")</f>
      </c>
      <c s="72">
        <f>IF('[1]Leakage Tree Data'!L168&lt;&gt;"",'[1]Leakage Tree Data'!L168,"")</f>
      </c>
      <c s="72">
        <f>IF('[1]Leakage Tree Data'!M168&lt;&gt;"",'[1]Leakage Tree Data'!M168,"")</f>
      </c>
      <c s="72">
        <f>IF('[1]Leakage Tree Data'!N168&lt;&gt;"",'[1]Leakage Tree Data'!N168,"")</f>
      </c>
      <c s="72">
        <f>IF('[1]Leakage Tree Data'!O168&lt;&gt;"",'[1]Leakage Tree Data'!O168,"")</f>
      </c>
      <c s="72">
        <f>IF('[1]Leakage Tree Data'!P168&lt;&gt;"",'[1]Leakage Tree Data'!P168,"")</f>
      </c>
      <c s="72">
        <f>IF('[1]Leakage Tree Data'!Q168&lt;&gt;"",'[1]Leakage Tree Data'!Q168,"")</f>
      </c>
      <c s="72">
        <f>IF('[1]Leakage Tree Data'!R168&lt;&gt;"",'[1]Leakage Tree Data'!R168,"")</f>
        <v>1017625.85098267</v>
      </c>
      <c s="72">
        <f>IF('[1]Leakage Tree Data'!S168&lt;&gt;"",'[1]Leakage Tree Data'!S168,"")</f>
        <v>-1582038.23321533</v>
      </c>
      <c s="72">
        <f>IF('[1]Leakage Tree Data'!T168&lt;&gt;"",'[1]Leakage Tree Data'!T168,"")</f>
        <v>-1.44256304514691</v>
      </c>
      <c s="72">
        <f>IF('[1]Leakage Tree Data'!U168&lt;&gt;"",'[1]Leakage Tree Data'!U168,"")</f>
        <v>2599664.084198</v>
      </c>
      <c s="72">
        <f>IF('[1]Leakage Tree Data'!V168&lt;&gt;"",'[1]Leakage Tree Data'!V168,"")</f>
        <v>1.44256304514691</v>
      </c>
      <c s="72">
        <f>IF('[1]Leakage Tree Data'!W168&lt;&gt;"",'[1]Leakage Tree Data'!W168,"")</f>
        <v>-1855949.2237854</v>
      </c>
      <c s="72">
        <f>IF('[1]Leakage Tree Data'!X168&lt;&gt;"",'[1]Leakage Tree Data'!X168,"")</f>
      </c>
      <c s="72">
        <f>IF('[1]Leakage Tree Data'!Y168&lt;&gt;"",'[1]Leakage Tree Data'!Y168,"")</f>
      </c>
      <c s="72">
        <f>IF('[1]Leakage Tree Data'!Z168&lt;&gt;"",'[1]Leakage Tree Data'!Z168,"")</f>
      </c>
      <c s="72">
        <f>IF('[1]Leakage Tree Data'!AA168&lt;&gt;"",'[1]Leakage Tree Data'!AA168,"")</f>
      </c>
      <c s="72">
        <f>IF('[1]Leakage Tree Data'!AB168&lt;&gt;"",'[1]Leakage Tree Data'!AB168,"")</f>
      </c>
      <c s="72">
        <f>IF('[1]Leakage Tree Data'!AC168&lt;&gt;"",'[1]Leakage Tree Data'!AC168,"")</f>
      </c>
      <c s="72">
        <f>IF('[1]Leakage Tree Data'!AD168&lt;&gt;"",'[1]Leakage Tree Data'!AD168,"")</f>
      </c>
      <c s="72">
        <f>IF('[1]Leakage Tree Data'!AE168&lt;&gt;"",'[1]Leakage Tree Data'!AE168,"")</f>
      </c>
      <c s="73">
        <f t="shared" si="49"/>
      </c>
      <c s="73">
        <f t="shared" si="50"/>
      </c>
      <c s="73">
        <f t="shared" si="51"/>
      </c>
      <c s="73">
        <f t="shared" si="52"/>
      </c>
      <c s="74">
        <f t="shared" si="53"/>
      </c>
      <c s="74">
        <f t="shared" si="54"/>
      </c>
      <c s="69" t="str">
        <f t="shared" si="55"/>
        <v>Total US - Office Depot / Office Max</v>
      </c>
      <c s="69" t="str">
        <f t="shared" si="56"/>
        <v>Total US - Specialty Stores</v>
      </c>
    </row>
    <row r="270" spans="1:140" ht="15">
      <c r="A27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270,$AL$8:$AL$15,1,FALSE))=TRUE,IF(AND(CV270=CW270,CV270&lt;&gt;"",DI$111&lt;&gt;"",DK270&lt;&gt;""),IF(CW$101="Y",DK270-IF(ISERROR(VLOOKUP(CV270,$CA$113:$DK$300,37,FALSE))=TRUE,0,IF(VLOOKUP(CV270,$CA$113:$DK$300,37,FALSE)="",0,VLOOKUP(CV270,$CA$113:$DK$300,37,FALSE))),DK270-IF(AND(CW$102="Y",CV270=$CW$111),DI$111,0)),""),"")</f>
      </c>
      <c s="76">
        <f>IF(ISERROR(VLOOKUP(CV270,$AL$8:$AL$15,1,FALSE))=TRUE,IF(CB270&lt;&gt;"",IF(CB270&gt;0,IF(Z$4&lt;&gt;"",MIN(4,RANK(CB270,$CB$111:$CB$300)),RANK(CB270,$CB$111:$CB$300)),""),""),"")</f>
      </c>
      <c s="75">
        <f>IF(ISERROR(VLOOKUP(CV270,$AL$8:$AL$15,1,FALSE))=TRUE,IF(AND(ISERROR(FIND("NeighMkt",$CX$102))=FALSE,LEFT($CW$111,10)="ALL OUTLET",$CA270&lt;&gt;"",DK270&lt;&gt;""),"",IF(AND($CV270&lt;&gt;$CW270,$CW270=CD$110),$DK270,"")),"")</f>
      </c>
      <c s="76">
        <f>IF(ISERROR(VLOOKUP(CV270,$AL$8:$AL$15,1,FALSE))=TRUE,IF(CD270&lt;&gt;"",IF(CD270&gt;0,RANK(CD270,$CD$111:$CD$300),""),""),"")</f>
      </c>
      <c s="75">
        <f>IF(ISERROR(VLOOKUP(CV270,$AL$8:$AL$15,1,FALSE))=TRUE,IF(AND(ISERROR(FIND("NeighMkt",$CX$102))=FALSE,LEFT($CW$111,10)="ALL OUTLET",$CA270&lt;&gt;"",DK270&lt;&gt;""),"",IF(AND($CV270&lt;&gt;$CW270,$CW270=CF$110),$DK270,"")),"")</f>
      </c>
      <c s="76">
        <f>IF(ISERROR(VLOOKUP(CV270,$AL$8:$AL$15,1,FALSE))=TRUE,IF(CF270&lt;&gt;"",IF(CF270&gt;0,RANK(CF270,$CF$111:$CF$300),""),""),"")</f>
      </c>
      <c s="75">
        <f>IF(ISERROR(VLOOKUP(CV270,$AL$8:$AL$15,1,FALSE))=TRUE,IF(AND(ISERROR(FIND("NeighMkt",$CX$102))=FALSE,LEFT($CW$111,10)="ALL OUTLET",$CA270&lt;&gt;"",DK270&lt;&gt;""),"",IF(AND($CV270&lt;&gt;$CW270,$CW270=CH$110),$DK270,"")),"")</f>
      </c>
      <c s="76">
        <f>IF(ISERROR(VLOOKUP(CV270,$AL$8:$AL$15,1,FALSE))=TRUE,IF(CH270&lt;&gt;"",IF(CH270&gt;0,RANK(CH270,$CH$111:$CH$300),""),""),"")</f>
      </c>
      <c s="75">
        <f>IF(ISERROR(VLOOKUP(CV270,$AL$8:$AL$15,1,FALSE))=TRUE,IF(AND(ISERROR(FIND("NeighMkt",$CX$102))=FALSE,LEFT($CW$111,10)="ALL OUTLET",$CA270&lt;&gt;"",DK270&lt;&gt;""),"",IF($Z$4="",IF(AND($CV270&lt;&gt;$CW270,$CW270=CJ$110),$DK270,""),IF(AND($CV270&lt;&gt;$CW270,$CW270&lt;&gt;CD$110,$CW270&lt;&gt;CF$110,$CW270&lt;&gt;CH$110,$CW270&lt;&gt;$CV$111),$DK270,""))),"")</f>
      </c>
      <c s="76">
        <f>IF(ISERROR(VLOOKUP(CV270,$AL$8:$AL$15,1,FALSE))=TRUE,IF(CJ270&lt;&gt;"",IF(CJ270&gt;0,RANK(CJ270,$CJ$111:$CJ$300),""),""),"")</f>
      </c>
      <c s="75">
        <f>IF(ISERROR(VLOOKUP(CV270,$AL$8:$AL$15,1,FALSE))=TRUE,IF(AND(CV270=CW270,CV270&lt;&gt;"",DJ270&lt;&gt;""),IF(AND(ISERROR(FIND("NeighMkt",$CX$102))=FALSE,LEFT($CW$111,10)="ALL OUTLET"),DJ270-IF(ISERROR(VLOOKUP(CV270,$CA$113:$DK$300,36,FALSE))=TRUE,0,IF(VLOOKUP(CV270,$CA$113:$DK$300,36,FALSE)="",0,VLOOKUP(CV270,$CA$113:$DK$300,36,FALSE))),DJ270),""),"")</f>
      </c>
      <c s="76">
        <f>IF(ISERROR(VLOOKUP(CV270,$AL$8:$AL$15,1,FALSE))=TRUE,IF(CL270&lt;&gt;"",IF(CL270&gt;0,IF($Z$4&lt;&gt;"",MIN(4,RANK(CL270,$CL$111:$CL$300)),RANK(CL270,$CL$111:$CL$300)),""),""),"")</f>
      </c>
      <c s="75">
        <f>IF(ISERROR(VLOOKUP(CV270,$AL$8:$AL$15,1,FALSE))=TRUE,IF(AND(ISERROR(FIND("NeighMkt",$CX$102))=FALSE,LEFT($CW$111,10)="ALL OUTLET",$CA270&lt;&gt;"",DJ270&lt;&gt;""),"",IF(AND($CV270&lt;&gt;$CW270,$CW270=CN$110),$DJ270,"")),"")</f>
      </c>
      <c s="76">
        <f>IF(ISERROR(VLOOKUP(CV270,$AL$8:$AL$15,1,FALSE))=TRUE,IF(CN270&lt;&gt;"",IF(CN270&gt;0,RANK(CN270,$CN$111:$CN$300),""),""),"")</f>
      </c>
      <c s="75">
        <f>IF(ISERROR(VLOOKUP(CV270,$AL$8:$AL$15,1,FALSE))=TRUE,IF(AND(ISERROR(FIND("NeighMkt",$CX$102))=FALSE,LEFT($CW$111,10)="ALL OUTLET",$CA270&lt;&gt;"",DJ270&lt;&gt;""),"",IF(AND($CV270&lt;&gt;$CW270,$CW270=CP$110),$DJ270,"")),"")</f>
      </c>
      <c s="76">
        <f>IF(ISERROR(VLOOKUP(CV270,$AL$8:$AL$15,1,FALSE))=TRUE,IF(CP270&lt;&gt;"",IF(CP270&gt;0,RANK(CP270,$CP$111:$CP$300),""),""),"")</f>
      </c>
      <c s="75">
        <f>IF(ISERROR(VLOOKUP(CV270,$AL$8:$AL$15,1,FALSE))=TRUE,IF(AND(ISERROR(FIND("NeighMkt",$CX$102))=FALSE,LEFT($CW$111,10)="ALL OUTLET",$CA270&lt;&gt;"",DJ270&lt;&gt;""),"",IF(AND($CV270&lt;&gt;$CW270,$CW270=CR$110),$DJ270,"")),"")</f>
      </c>
      <c s="76">
        <f>IF(ISERROR(VLOOKUP(CV270,$AL$8:$AL$15,1,FALSE))=TRUE,IF(CR270&lt;&gt;"",IF(CR270&gt;0,RANK(CR270,$CR$111:$CR$300),""),""),"")</f>
      </c>
      <c s="75">
        <f>IF(ISERROR(VLOOKUP(CV270,$AL$8:$AL$15,1,FALSE))=TRUE,IF(AND(ISERROR(FIND("NeighMkt",$CX$102))=FALSE,LEFT($CW$111,10)="ALL OUTLET",$CA270&lt;&gt;"",DJ270&lt;&gt;""),"",IF($Z$4="",IF(AND($CV270&lt;&gt;$CW270,$CW270=CT$110),$DJ270,""),IF(AND($CV270&lt;&gt;$CW270,$CW270&lt;&gt;CN$110,$CW270&lt;&gt;CP$110,$CW270&lt;&gt;CR$110,$CW270&lt;&gt;$CV$111),$DJ270,""))),"")</f>
      </c>
      <c s="76">
        <f>IF(ISERROR(VLOOKUP(CV270,$AL$8:$AL$15,1,FALSE))=TRUE,IF(CT270&lt;&gt;"",IF(CT270&gt;0,RANK(CT270,$CT$111:$CT$300),""),""),"")</f>
      </c>
      <c s="65" t="str">
        <f t="shared" si="47"/>
        <v>Sephora</v>
      </c>
      <c s="65" t="str">
        <f t="shared" si="48"/>
        <v>Specialty Stores</v>
      </c>
      <c s="72" t="str">
        <f>IF('[1]Leakage Tree Data'!A169&lt;&gt;"",'[1]Leakage Tree Data'!A169,"")</f>
        <v>Total US - Sephora</v>
      </c>
      <c s="72" t="str">
        <f>IF('[1]Leakage Tree Data'!B169&lt;&gt;"",'[1]Leakage Tree Data'!B169,"")</f>
        <v>Total US - Specialty Stores</v>
      </c>
      <c s="72">
        <f>IF('[1]Leakage Tree Data'!C169&lt;&gt;"",'[1]Leakage Tree Data'!C169,"")</f>
        <v>121171760.292236</v>
      </c>
      <c s="72">
        <f>IF('[1]Leakage Tree Data'!D169&lt;&gt;"",'[1]Leakage Tree Data'!D169,"")</f>
        <v>2938468.18115234</v>
      </c>
      <c s="72">
        <f>IF('[1]Leakage Tree Data'!E169&lt;&gt;"",'[1]Leakage Tree Data'!E169,"")</f>
        <v>2.42504373466679</v>
      </c>
      <c s="72">
        <f>IF('[1]Leakage Tree Data'!F169&lt;&gt;"",'[1]Leakage Tree Data'!F169,"")</f>
        <v>118233292.111084</v>
      </c>
      <c s="72">
        <f>IF('[1]Leakage Tree Data'!G169&lt;&gt;"",'[1]Leakage Tree Data'!G169,"")</f>
        <v>97.5749562653332</v>
      </c>
      <c s="72">
        <f>IF('[1]Leakage Tree Data'!H169&lt;&gt;"",'[1]Leakage Tree Data'!H169,"")</f>
        <v>61518209.9918823</v>
      </c>
      <c s="72" t="str">
        <f>IF('[1]Leakage Tree Data'!I169&lt;&gt;"",'[1]Leakage Tree Data'!I169,"")</f>
        <v>Specialty Stores</v>
      </c>
      <c s="72">
        <f>IF('[1]Leakage Tree Data'!J169&lt;&gt;"",'[1]Leakage Tree Data'!J169,"")</f>
      </c>
      <c s="72">
        <f>IF('[1]Leakage Tree Data'!K169&lt;&gt;"",'[1]Leakage Tree Data'!K169,"")</f>
      </c>
      <c s="72">
        <f>IF('[1]Leakage Tree Data'!L169&lt;&gt;"",'[1]Leakage Tree Data'!L169,"")</f>
      </c>
      <c s="72">
        <f>IF('[1]Leakage Tree Data'!M169&lt;&gt;"",'[1]Leakage Tree Data'!M169,"")</f>
      </c>
      <c s="72">
        <f>IF('[1]Leakage Tree Data'!N169&lt;&gt;"",'[1]Leakage Tree Data'!N169,"")</f>
      </c>
      <c s="72">
        <f>IF('[1]Leakage Tree Data'!O169&lt;&gt;"",'[1]Leakage Tree Data'!O169,"")</f>
      </c>
      <c s="72">
        <f>IF('[1]Leakage Tree Data'!P169&lt;&gt;"",'[1]Leakage Tree Data'!P169,"")</f>
      </c>
      <c s="72">
        <f>IF('[1]Leakage Tree Data'!Q169&lt;&gt;"",'[1]Leakage Tree Data'!Q169,"")</f>
      </c>
      <c s="72">
        <f>IF('[1]Leakage Tree Data'!R169&lt;&gt;"",'[1]Leakage Tree Data'!R169,"")</f>
        <v>1017625.85098267</v>
      </c>
      <c s="72">
        <f>IF('[1]Leakage Tree Data'!S169&lt;&gt;"",'[1]Leakage Tree Data'!S169,"")</f>
        <v>136427.097991943</v>
      </c>
      <c s="72">
        <f>IF('[1]Leakage Tree Data'!T169&lt;&gt;"",'[1]Leakage Tree Data'!T169,"")</f>
        <v>0.0930048945631374</v>
      </c>
      <c s="72">
        <f>IF('[1]Leakage Tree Data'!U169&lt;&gt;"",'[1]Leakage Tree Data'!U169,"")</f>
        <v>881198.752990723</v>
      </c>
      <c s="72">
        <f>IF('[1]Leakage Tree Data'!V169&lt;&gt;"",'[1]Leakage Tree Data'!V169,"")</f>
        <v>-0.093004894563137</v>
      </c>
      <c s="72">
        <f>IF('[1]Leakage Tree Data'!W169&lt;&gt;"",'[1]Leakage Tree Data'!W169,"")</f>
        <v>-1855949.2237854</v>
      </c>
      <c s="72">
        <f>IF('[1]Leakage Tree Data'!X169&lt;&gt;"",'[1]Leakage Tree Data'!X169,"")</f>
      </c>
      <c s="72">
        <f>IF('[1]Leakage Tree Data'!Y169&lt;&gt;"",'[1]Leakage Tree Data'!Y169,"")</f>
      </c>
      <c s="72">
        <f>IF('[1]Leakage Tree Data'!Z169&lt;&gt;"",'[1]Leakage Tree Data'!Z169,"")</f>
      </c>
      <c s="72">
        <f>IF('[1]Leakage Tree Data'!AA169&lt;&gt;"",'[1]Leakage Tree Data'!AA169,"")</f>
      </c>
      <c s="72">
        <f>IF('[1]Leakage Tree Data'!AB169&lt;&gt;"",'[1]Leakage Tree Data'!AB169,"")</f>
      </c>
      <c s="72">
        <f>IF('[1]Leakage Tree Data'!AC169&lt;&gt;"",'[1]Leakage Tree Data'!AC169,"")</f>
      </c>
      <c s="72">
        <f>IF('[1]Leakage Tree Data'!AD169&lt;&gt;"",'[1]Leakage Tree Data'!AD169,"")</f>
      </c>
      <c s="72">
        <f>IF('[1]Leakage Tree Data'!AE169&lt;&gt;"",'[1]Leakage Tree Data'!AE169,"")</f>
      </c>
      <c s="73">
        <f t="shared" si="49"/>
      </c>
      <c s="73">
        <f t="shared" si="50"/>
      </c>
      <c s="73">
        <f t="shared" si="51"/>
      </c>
      <c s="73">
        <f t="shared" si="52"/>
      </c>
      <c s="74">
        <f t="shared" si="53"/>
      </c>
      <c s="74">
        <f t="shared" si="54"/>
      </c>
      <c s="69" t="str">
        <f t="shared" si="55"/>
        <v>Total US - Sephora</v>
      </c>
      <c s="69" t="str">
        <f t="shared" si="56"/>
        <v>Total US - Specialty Stores</v>
      </c>
    </row>
    <row r="271" spans="1:140" ht="15">
      <c r="A271"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271,$AL$8:$AL$15,1,FALSE))=TRUE,IF(AND(CV271=CW271,CV271&lt;&gt;"",DI$111&lt;&gt;"",DK271&lt;&gt;""),IF(CW$101="Y",DK271-IF(ISERROR(VLOOKUP(CV271,$CA$113:$DK$300,37,FALSE))=TRUE,0,IF(VLOOKUP(CV271,$CA$113:$DK$300,37,FALSE)="",0,VLOOKUP(CV271,$CA$113:$DK$300,37,FALSE))),DK271-IF(AND(CW$102="Y",CV271=$CW$111),DI$111,0)),""),"")</f>
      </c>
      <c s="76">
        <f>IF(ISERROR(VLOOKUP(CV271,$AL$8:$AL$15,1,FALSE))=TRUE,IF(CB271&lt;&gt;"",IF(CB271&gt;0,IF(Z$4&lt;&gt;"",MIN(4,RANK(CB271,$CB$111:$CB$300)),RANK(CB271,$CB$111:$CB$300)),""),""),"")</f>
      </c>
      <c s="75">
        <f>IF(ISERROR(VLOOKUP(CV271,$AL$8:$AL$15,1,FALSE))=TRUE,IF(AND(ISERROR(FIND("NeighMkt",$CX$102))=FALSE,LEFT($CW$111,10)="ALL OUTLET",$CA271&lt;&gt;"",DK271&lt;&gt;""),"",IF(AND($CV271&lt;&gt;$CW271,$CW271=CD$110),$DK271,"")),"")</f>
      </c>
      <c s="76">
        <f>IF(ISERROR(VLOOKUP(CV271,$AL$8:$AL$15,1,FALSE))=TRUE,IF(CD271&lt;&gt;"",IF(CD271&gt;0,RANK(CD271,$CD$111:$CD$300),""),""),"")</f>
      </c>
      <c s="75">
        <f>IF(ISERROR(VLOOKUP(CV271,$AL$8:$AL$15,1,FALSE))=TRUE,IF(AND(ISERROR(FIND("NeighMkt",$CX$102))=FALSE,LEFT($CW$111,10)="ALL OUTLET",$CA271&lt;&gt;"",DK271&lt;&gt;""),"",IF(AND($CV271&lt;&gt;$CW271,$CW271=CF$110),$DK271,"")),"")</f>
      </c>
      <c s="76">
        <f>IF(ISERROR(VLOOKUP(CV271,$AL$8:$AL$15,1,FALSE))=TRUE,IF(CF271&lt;&gt;"",IF(CF271&gt;0,RANK(CF271,$CF$111:$CF$300),""),""),"")</f>
      </c>
      <c s="75">
        <f>IF(ISERROR(VLOOKUP(CV271,$AL$8:$AL$15,1,FALSE))=TRUE,IF(AND(ISERROR(FIND("NeighMkt",$CX$102))=FALSE,LEFT($CW$111,10)="ALL OUTLET",$CA271&lt;&gt;"",DK271&lt;&gt;""),"",IF(AND($CV271&lt;&gt;$CW271,$CW271=CH$110),$DK271,"")),"")</f>
      </c>
      <c s="76">
        <f>IF(ISERROR(VLOOKUP(CV271,$AL$8:$AL$15,1,FALSE))=TRUE,IF(CH271&lt;&gt;"",IF(CH271&gt;0,RANK(CH271,$CH$111:$CH$300),""),""),"")</f>
      </c>
      <c s="75">
        <f>IF(ISERROR(VLOOKUP(CV271,$AL$8:$AL$15,1,FALSE))=TRUE,IF(AND(ISERROR(FIND("NeighMkt",$CX$102))=FALSE,LEFT($CW$111,10)="ALL OUTLET",$CA271&lt;&gt;"",DK271&lt;&gt;""),"",IF($Z$4="",IF(AND($CV271&lt;&gt;$CW271,$CW271=CJ$110),$DK271,""),IF(AND($CV271&lt;&gt;$CW271,$CW271&lt;&gt;CD$110,$CW271&lt;&gt;CF$110,$CW271&lt;&gt;CH$110,$CW271&lt;&gt;$CV$111),$DK271,""))),"")</f>
      </c>
      <c s="76">
        <f>IF(ISERROR(VLOOKUP(CV271,$AL$8:$AL$15,1,FALSE))=TRUE,IF(CJ271&lt;&gt;"",IF(CJ271&gt;0,RANK(CJ271,$CJ$111:$CJ$300),""),""),"")</f>
      </c>
      <c s="75">
        <f>IF(ISERROR(VLOOKUP(CV271,$AL$8:$AL$15,1,FALSE))=TRUE,IF(AND(CV271=CW271,CV271&lt;&gt;"",DJ271&lt;&gt;""),IF(AND(ISERROR(FIND("NeighMkt",$CX$102))=FALSE,LEFT($CW$111,10)="ALL OUTLET"),DJ271-IF(ISERROR(VLOOKUP(CV271,$CA$113:$DK$300,36,FALSE))=TRUE,0,IF(VLOOKUP(CV271,$CA$113:$DK$300,36,FALSE)="",0,VLOOKUP(CV271,$CA$113:$DK$300,36,FALSE))),DJ271),""),"")</f>
      </c>
      <c s="76">
        <f>IF(ISERROR(VLOOKUP(CV271,$AL$8:$AL$15,1,FALSE))=TRUE,IF(CL271&lt;&gt;"",IF(CL271&gt;0,IF($Z$4&lt;&gt;"",MIN(4,RANK(CL271,$CL$111:$CL$300)),RANK(CL271,$CL$111:$CL$300)),""),""),"")</f>
      </c>
      <c s="75">
        <f>IF(ISERROR(VLOOKUP(CV271,$AL$8:$AL$15,1,FALSE))=TRUE,IF(AND(ISERROR(FIND("NeighMkt",$CX$102))=FALSE,LEFT($CW$111,10)="ALL OUTLET",$CA271&lt;&gt;"",DJ271&lt;&gt;""),"",IF(AND($CV271&lt;&gt;$CW271,$CW271=CN$110),$DJ271,"")),"")</f>
      </c>
      <c s="76">
        <f>IF(ISERROR(VLOOKUP(CV271,$AL$8:$AL$15,1,FALSE))=TRUE,IF(CN271&lt;&gt;"",IF(CN271&gt;0,RANK(CN271,$CN$111:$CN$300),""),""),"")</f>
      </c>
      <c s="75">
        <f>IF(ISERROR(VLOOKUP(CV271,$AL$8:$AL$15,1,FALSE))=TRUE,IF(AND(ISERROR(FIND("NeighMkt",$CX$102))=FALSE,LEFT($CW$111,10)="ALL OUTLET",$CA271&lt;&gt;"",DJ271&lt;&gt;""),"",IF(AND($CV271&lt;&gt;$CW271,$CW271=CP$110),$DJ271,"")),"")</f>
      </c>
      <c s="76">
        <f>IF(ISERROR(VLOOKUP(CV271,$AL$8:$AL$15,1,FALSE))=TRUE,IF(CP271&lt;&gt;"",IF(CP271&gt;0,RANK(CP271,$CP$111:$CP$300),""),""),"")</f>
      </c>
      <c s="75">
        <f>IF(ISERROR(VLOOKUP(CV271,$AL$8:$AL$15,1,FALSE))=TRUE,IF(AND(ISERROR(FIND("NeighMkt",$CX$102))=FALSE,LEFT($CW$111,10)="ALL OUTLET",$CA271&lt;&gt;"",DJ271&lt;&gt;""),"",IF(AND($CV271&lt;&gt;$CW271,$CW271=CR$110),$DJ271,"")),"")</f>
      </c>
      <c s="76">
        <f>IF(ISERROR(VLOOKUP(CV271,$AL$8:$AL$15,1,FALSE))=TRUE,IF(CR271&lt;&gt;"",IF(CR271&gt;0,RANK(CR271,$CR$111:$CR$300),""),""),"")</f>
      </c>
      <c s="75">
        <f>IF(ISERROR(VLOOKUP(CV271,$AL$8:$AL$15,1,FALSE))=TRUE,IF(AND(ISERROR(FIND("NeighMkt",$CX$102))=FALSE,LEFT($CW$111,10)="ALL OUTLET",$CA271&lt;&gt;"",DJ271&lt;&gt;""),"",IF($Z$4="",IF(AND($CV271&lt;&gt;$CW271,$CW271=CT$110),$DJ271,""),IF(AND($CV271&lt;&gt;$CW271,$CW271&lt;&gt;CN$110,$CW271&lt;&gt;CP$110,$CW271&lt;&gt;CR$110,$CW271&lt;&gt;$CV$111),$DJ271,""))),"")</f>
      </c>
      <c s="76">
        <f>IF(ISERROR(VLOOKUP(CV271,$AL$8:$AL$15,1,FALSE))=TRUE,IF(CT271&lt;&gt;"",IF(CT271&gt;0,RANK(CT271,$CT$111:$CT$300),""),""),"")</f>
      </c>
      <c s="65" t="str">
        <f t="shared" si="47"/>
        <v>Staples</v>
      </c>
      <c s="65" t="str">
        <f t="shared" si="48"/>
        <v>Specialty Stores</v>
      </c>
      <c s="72" t="str">
        <f>IF('[1]Leakage Tree Data'!A170&lt;&gt;"",'[1]Leakage Tree Data'!A170,"")</f>
        <v>Total US - Staples</v>
      </c>
      <c s="72" t="str">
        <f>IF('[1]Leakage Tree Data'!B170&lt;&gt;"",'[1]Leakage Tree Data'!B170,"")</f>
        <v>Total US - Specialty Stores</v>
      </c>
      <c s="72">
        <f>IF('[1]Leakage Tree Data'!C170&lt;&gt;"",'[1]Leakage Tree Data'!C170,"")</f>
        <v>121171760.292236</v>
      </c>
      <c s="72">
        <f>IF('[1]Leakage Tree Data'!D170&lt;&gt;"",'[1]Leakage Tree Data'!D170,"")</f>
        <v>20363203.757019</v>
      </c>
      <c s="72">
        <f>IF('[1]Leakage Tree Data'!E170&lt;&gt;"",'[1]Leakage Tree Data'!E170,"")</f>
        <v>16.8052388674622</v>
      </c>
      <c s="72">
        <f>IF('[1]Leakage Tree Data'!F170&lt;&gt;"",'[1]Leakage Tree Data'!F170,"")</f>
        <v>100808556.535217</v>
      </c>
      <c s="72">
        <f>IF('[1]Leakage Tree Data'!G170&lt;&gt;"",'[1]Leakage Tree Data'!G170,"")</f>
        <v>83.1947611325378</v>
      </c>
      <c s="72">
        <f>IF('[1]Leakage Tree Data'!H170&lt;&gt;"",'[1]Leakage Tree Data'!H170,"")</f>
        <v>61518209.9918823</v>
      </c>
      <c s="72" t="str">
        <f>IF('[1]Leakage Tree Data'!I170&lt;&gt;"",'[1]Leakage Tree Data'!I170,"")</f>
        <v>Specialty Stores</v>
      </c>
      <c s="72">
        <f>IF('[1]Leakage Tree Data'!J170&lt;&gt;"",'[1]Leakage Tree Data'!J170,"")</f>
      </c>
      <c s="72">
        <f>IF('[1]Leakage Tree Data'!K170&lt;&gt;"",'[1]Leakage Tree Data'!K170,"")</f>
      </c>
      <c s="72">
        <f>IF('[1]Leakage Tree Data'!L170&lt;&gt;"",'[1]Leakage Tree Data'!L170,"")</f>
      </c>
      <c s="72">
        <f>IF('[1]Leakage Tree Data'!M170&lt;&gt;"",'[1]Leakage Tree Data'!M170,"")</f>
      </c>
      <c s="72">
        <f>IF('[1]Leakage Tree Data'!N170&lt;&gt;"",'[1]Leakage Tree Data'!N170,"")</f>
      </c>
      <c s="72">
        <f>IF('[1]Leakage Tree Data'!O170&lt;&gt;"",'[1]Leakage Tree Data'!O170,"")</f>
        <v>0.628421409952277</v>
      </c>
      <c s="72">
        <f>IF('[1]Leakage Tree Data'!P170&lt;&gt;"",'[1]Leakage Tree Data'!P170,"")</f>
        <v>2045582.03107409</v>
      </c>
      <c s="72">
        <f>IF('[1]Leakage Tree Data'!Q170&lt;&gt;"",'[1]Leakage Tree Data'!Q170,"")</f>
      </c>
      <c s="72">
        <f>IF('[1]Leakage Tree Data'!R170&lt;&gt;"",'[1]Leakage Tree Data'!R170,"")</f>
        <v>1017625.85098267</v>
      </c>
      <c s="72">
        <f>IF('[1]Leakage Tree Data'!S170&lt;&gt;"",'[1]Leakage Tree Data'!S170,"")</f>
        <v>-2238562.02145386</v>
      </c>
      <c s="72">
        <f>IF('[1]Leakage Tree Data'!T170&lt;&gt;"",'[1]Leakage Tree Data'!T170,"")</f>
        <v>-2.00540454782822</v>
      </c>
      <c s="72">
        <f>IF('[1]Leakage Tree Data'!U170&lt;&gt;"",'[1]Leakage Tree Data'!U170,"")</f>
        <v>3256187.87243652</v>
      </c>
      <c s="72">
        <f>IF('[1]Leakage Tree Data'!V170&lt;&gt;"",'[1]Leakage Tree Data'!V170,"")</f>
        <v>2.00540454782822</v>
      </c>
      <c s="72">
        <f>IF('[1]Leakage Tree Data'!W170&lt;&gt;"",'[1]Leakage Tree Data'!W170,"")</f>
        <v>-1855949.2237854</v>
      </c>
      <c s="72">
        <f>IF('[1]Leakage Tree Data'!X170&lt;&gt;"",'[1]Leakage Tree Data'!X170,"")</f>
      </c>
      <c s="72">
        <f>IF('[1]Leakage Tree Data'!Y170&lt;&gt;"",'[1]Leakage Tree Data'!Y170,"")</f>
      </c>
      <c s="72">
        <f>IF('[1]Leakage Tree Data'!Z170&lt;&gt;"",'[1]Leakage Tree Data'!Z170,"")</f>
      </c>
      <c s="72">
        <f>IF('[1]Leakage Tree Data'!AA170&lt;&gt;"",'[1]Leakage Tree Data'!AA170,"")</f>
      </c>
      <c s="72">
        <f>IF('[1]Leakage Tree Data'!AB170&lt;&gt;"",'[1]Leakage Tree Data'!AB170,"")</f>
      </c>
      <c s="72">
        <f>IF('[1]Leakage Tree Data'!AC170&lt;&gt;"",'[1]Leakage Tree Data'!AC170,"")</f>
      </c>
      <c s="72">
        <f>IF('[1]Leakage Tree Data'!AD170&lt;&gt;"",'[1]Leakage Tree Data'!AD170,"")</f>
        <v>0.0129896912837438</v>
      </c>
      <c s="72">
        <f>IF('[1]Leakage Tree Data'!AE170&lt;&gt;"",'[1]Leakage Tree Data'!AE170,"")</f>
      </c>
      <c s="73">
        <f t="shared" si="49"/>
      </c>
      <c s="73">
        <f t="shared" si="50"/>
      </c>
      <c s="73">
        <f t="shared" si="51"/>
      </c>
      <c s="73">
        <f t="shared" si="52"/>
      </c>
      <c s="74">
        <f t="shared" si="53"/>
      </c>
      <c s="74">
        <f t="shared" si="54"/>
      </c>
      <c s="69" t="str">
        <f t="shared" si="55"/>
        <v>Total US - Staples</v>
      </c>
      <c s="69" t="str">
        <f t="shared" si="56"/>
        <v>Total US - Specialty Stores</v>
      </c>
    </row>
    <row r="272" spans="1:140" ht="15">
      <c r="A272"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272,$AL$8:$AL$15,1,FALSE))=TRUE,IF(AND(CV272=CW272,CV272&lt;&gt;"",DI$111&lt;&gt;"",DK272&lt;&gt;""),IF(CW$101="Y",DK272-IF(ISERROR(VLOOKUP(CV272,$CA$113:$DK$300,37,FALSE))=TRUE,0,IF(VLOOKUP(CV272,$CA$113:$DK$300,37,FALSE)="",0,VLOOKUP(CV272,$CA$113:$DK$300,37,FALSE))),DK272-IF(AND(CW$102="Y",CV272=$CW$111),DI$111,0)),""),"")</f>
      </c>
      <c s="76">
        <f>IF(ISERROR(VLOOKUP(CV272,$AL$8:$AL$15,1,FALSE))=TRUE,IF(CB272&lt;&gt;"",IF(CB272&gt;0,IF(Z$4&lt;&gt;"",MIN(4,RANK(CB272,$CB$111:$CB$300)),RANK(CB272,$CB$111:$CB$300)),""),""),"")</f>
      </c>
      <c s="75">
        <f>IF(ISERROR(VLOOKUP(CV272,$AL$8:$AL$15,1,FALSE))=TRUE,IF(AND(ISERROR(FIND("NeighMkt",$CX$102))=FALSE,LEFT($CW$111,10)="ALL OUTLET",$CA272&lt;&gt;"",DK272&lt;&gt;""),"",IF(AND($CV272&lt;&gt;$CW272,$CW272=CD$110),$DK272,"")),"")</f>
      </c>
      <c s="76">
        <f>IF(ISERROR(VLOOKUP(CV272,$AL$8:$AL$15,1,FALSE))=TRUE,IF(CD272&lt;&gt;"",IF(CD272&gt;0,RANK(CD272,$CD$111:$CD$300),""),""),"")</f>
      </c>
      <c s="75">
        <f>IF(ISERROR(VLOOKUP(CV272,$AL$8:$AL$15,1,FALSE))=TRUE,IF(AND(ISERROR(FIND("NeighMkt",$CX$102))=FALSE,LEFT($CW$111,10)="ALL OUTLET",$CA272&lt;&gt;"",DK272&lt;&gt;""),"",IF(AND($CV272&lt;&gt;$CW272,$CW272=CF$110),$DK272,"")),"")</f>
      </c>
      <c s="76">
        <f>IF(ISERROR(VLOOKUP(CV272,$AL$8:$AL$15,1,FALSE))=TRUE,IF(CF272&lt;&gt;"",IF(CF272&gt;0,RANK(CF272,$CF$111:$CF$300),""),""),"")</f>
      </c>
      <c s="75">
        <f>IF(ISERROR(VLOOKUP(CV272,$AL$8:$AL$15,1,FALSE))=TRUE,IF(AND(ISERROR(FIND("NeighMkt",$CX$102))=FALSE,LEFT($CW$111,10)="ALL OUTLET",$CA272&lt;&gt;"",DK272&lt;&gt;""),"",IF(AND($CV272&lt;&gt;$CW272,$CW272=CH$110),$DK272,"")),"")</f>
      </c>
      <c s="76">
        <f>IF(ISERROR(VLOOKUP(CV272,$AL$8:$AL$15,1,FALSE))=TRUE,IF(CH272&lt;&gt;"",IF(CH272&gt;0,RANK(CH272,$CH$111:$CH$300),""),""),"")</f>
      </c>
      <c s="75">
        <f>IF(ISERROR(VLOOKUP(CV272,$AL$8:$AL$15,1,FALSE))=TRUE,IF(AND(ISERROR(FIND("NeighMkt",$CX$102))=FALSE,LEFT($CW$111,10)="ALL OUTLET",$CA272&lt;&gt;"",DK272&lt;&gt;""),"",IF($Z$4="",IF(AND($CV272&lt;&gt;$CW272,$CW272=CJ$110),$DK272,""),IF(AND($CV272&lt;&gt;$CW272,$CW272&lt;&gt;CD$110,$CW272&lt;&gt;CF$110,$CW272&lt;&gt;CH$110,$CW272&lt;&gt;$CV$111),$DK272,""))),"")</f>
      </c>
      <c s="76">
        <f>IF(ISERROR(VLOOKUP(CV272,$AL$8:$AL$15,1,FALSE))=TRUE,IF(CJ272&lt;&gt;"",IF(CJ272&gt;0,RANK(CJ272,$CJ$111:$CJ$300),""),""),"")</f>
      </c>
      <c s="75">
        <f>IF(ISERROR(VLOOKUP(CV272,$AL$8:$AL$15,1,FALSE))=TRUE,IF(AND(CV272=CW272,CV272&lt;&gt;"",DJ272&lt;&gt;""),IF(AND(ISERROR(FIND("NeighMkt",$CX$102))=FALSE,LEFT($CW$111,10)="ALL OUTLET"),DJ272-IF(ISERROR(VLOOKUP(CV272,$CA$113:$DK$300,36,FALSE))=TRUE,0,IF(VLOOKUP(CV272,$CA$113:$DK$300,36,FALSE)="",0,VLOOKUP(CV272,$CA$113:$DK$300,36,FALSE))),DJ272),""),"")</f>
      </c>
      <c s="76">
        <f>IF(ISERROR(VLOOKUP(CV272,$AL$8:$AL$15,1,FALSE))=TRUE,IF(CL272&lt;&gt;"",IF(CL272&gt;0,IF($Z$4&lt;&gt;"",MIN(4,RANK(CL272,$CL$111:$CL$300)),RANK(CL272,$CL$111:$CL$300)),""),""),"")</f>
      </c>
      <c s="75">
        <f>IF(ISERROR(VLOOKUP(CV272,$AL$8:$AL$15,1,FALSE))=TRUE,IF(AND(ISERROR(FIND("NeighMkt",$CX$102))=FALSE,LEFT($CW$111,10)="ALL OUTLET",$CA272&lt;&gt;"",DJ272&lt;&gt;""),"",IF(AND($CV272&lt;&gt;$CW272,$CW272=CN$110),$DJ272,"")),"")</f>
      </c>
      <c s="76">
        <f>IF(ISERROR(VLOOKUP(CV272,$AL$8:$AL$15,1,FALSE))=TRUE,IF(CN272&lt;&gt;"",IF(CN272&gt;0,RANK(CN272,$CN$111:$CN$300),""),""),"")</f>
      </c>
      <c s="75">
        <f>IF(ISERROR(VLOOKUP(CV272,$AL$8:$AL$15,1,FALSE))=TRUE,IF(AND(ISERROR(FIND("NeighMkt",$CX$102))=FALSE,LEFT($CW$111,10)="ALL OUTLET",$CA272&lt;&gt;"",DJ272&lt;&gt;""),"",IF(AND($CV272&lt;&gt;$CW272,$CW272=CP$110),$DJ272,"")),"")</f>
      </c>
      <c s="76">
        <f>IF(ISERROR(VLOOKUP(CV272,$AL$8:$AL$15,1,FALSE))=TRUE,IF(CP272&lt;&gt;"",IF(CP272&gt;0,RANK(CP272,$CP$111:$CP$300),""),""),"")</f>
      </c>
      <c s="75">
        <f>IF(ISERROR(VLOOKUP(CV272,$AL$8:$AL$15,1,FALSE))=TRUE,IF(AND(ISERROR(FIND("NeighMkt",$CX$102))=FALSE,LEFT($CW$111,10)="ALL OUTLET",$CA272&lt;&gt;"",DJ272&lt;&gt;""),"",IF(AND($CV272&lt;&gt;$CW272,$CW272=CR$110),$DJ272,"")),"")</f>
      </c>
      <c s="76">
        <f>IF(ISERROR(VLOOKUP(CV272,$AL$8:$AL$15,1,FALSE))=TRUE,IF(CR272&lt;&gt;"",IF(CR272&gt;0,RANK(CR272,$CR$111:$CR$300),""),""),"")</f>
      </c>
      <c s="75">
        <f>IF(ISERROR(VLOOKUP(CV272,$AL$8:$AL$15,1,FALSE))=TRUE,IF(AND(ISERROR(FIND("NeighMkt",$CX$102))=FALSE,LEFT($CW$111,10)="ALL OUTLET",$CA272&lt;&gt;"",DJ272&lt;&gt;""),"",IF($Z$4="",IF(AND($CV272&lt;&gt;$CW272,$CW272=CT$110),$DJ272,""),IF(AND($CV272&lt;&gt;$CW272,$CW272&lt;&gt;CN$110,$CW272&lt;&gt;CP$110,$CW272&lt;&gt;CR$110,$CW272&lt;&gt;$CV$111),$DJ272,""))),"")</f>
      </c>
      <c s="76">
        <f>IF(ISERROR(VLOOKUP(CV272,$AL$8:$AL$15,1,FALSE))=TRUE,IF(CT272&lt;&gt;"",IF(CT272&gt;0,RANK(CT272,$CT$111:$CT$300),""),""),"")</f>
      </c>
      <c s="65" t="str">
        <f t="shared" si="47"/>
        <v>Ulta Beauty</v>
      </c>
      <c s="65" t="str">
        <f t="shared" si="48"/>
        <v>Specialty Stores</v>
      </c>
      <c s="72" t="str">
        <f>IF('[1]Leakage Tree Data'!A171&lt;&gt;"",'[1]Leakage Tree Data'!A171,"")</f>
        <v>Total US - Ulta Beauty</v>
      </c>
      <c s="72" t="str">
        <f>IF('[1]Leakage Tree Data'!B171&lt;&gt;"",'[1]Leakage Tree Data'!B171,"")</f>
        <v>Total US - Specialty Stores</v>
      </c>
      <c s="72">
        <f>IF('[1]Leakage Tree Data'!C171&lt;&gt;"",'[1]Leakage Tree Data'!C171,"")</f>
        <v>121171760.292236</v>
      </c>
      <c s="72">
        <f>IF('[1]Leakage Tree Data'!D171&lt;&gt;"",'[1]Leakage Tree Data'!D171,"")</f>
        <v>8126185.21234131</v>
      </c>
      <c s="72">
        <f>IF('[1]Leakage Tree Data'!E171&lt;&gt;"",'[1]Leakage Tree Data'!E171,"")</f>
        <v>6.70633585972751</v>
      </c>
      <c s="72">
        <f>IF('[1]Leakage Tree Data'!F171&lt;&gt;"",'[1]Leakage Tree Data'!F171,"")</f>
        <v>113045575.079895</v>
      </c>
      <c s="72">
        <f>IF('[1]Leakage Tree Data'!G171&lt;&gt;"",'[1]Leakage Tree Data'!G171,"")</f>
        <v>93.2936641402725</v>
      </c>
      <c s="72">
        <f>IF('[1]Leakage Tree Data'!H171&lt;&gt;"",'[1]Leakage Tree Data'!H171,"")</f>
        <v>61518209.9918823</v>
      </c>
      <c s="72" t="str">
        <f>IF('[1]Leakage Tree Data'!I171&lt;&gt;"",'[1]Leakage Tree Data'!I171,"")</f>
        <v>Specialty Stores</v>
      </c>
      <c s="72">
        <f>IF('[1]Leakage Tree Data'!J171&lt;&gt;"",'[1]Leakage Tree Data'!J171,"")</f>
      </c>
      <c s="72">
        <f>IF('[1]Leakage Tree Data'!K171&lt;&gt;"",'[1]Leakage Tree Data'!K171,"")</f>
      </c>
      <c s="72">
        <f>IF('[1]Leakage Tree Data'!L171&lt;&gt;"",'[1]Leakage Tree Data'!L171,"")</f>
      </c>
      <c s="72">
        <f>IF('[1]Leakage Tree Data'!M171&lt;&gt;"",'[1]Leakage Tree Data'!M171,"")</f>
      </c>
      <c s="72">
        <f>IF('[1]Leakage Tree Data'!N171&lt;&gt;"",'[1]Leakage Tree Data'!N171,"")</f>
      </c>
      <c s="72">
        <f>IF('[1]Leakage Tree Data'!O171&lt;&gt;"",'[1]Leakage Tree Data'!O171,"")</f>
      </c>
      <c s="72">
        <f>IF('[1]Leakage Tree Data'!P171&lt;&gt;"",'[1]Leakage Tree Data'!P171,"")</f>
      </c>
      <c s="72">
        <f>IF('[1]Leakage Tree Data'!Q171&lt;&gt;"",'[1]Leakage Tree Data'!Q171,"")</f>
      </c>
      <c s="72">
        <f>IF('[1]Leakage Tree Data'!R171&lt;&gt;"",'[1]Leakage Tree Data'!R171,"")</f>
        <v>1017625.85098267</v>
      </c>
      <c s="72">
        <f>IF('[1]Leakage Tree Data'!S171&lt;&gt;"",'[1]Leakage Tree Data'!S171,"")</f>
        <v>623814.320678711</v>
      </c>
      <c s="72">
        <f>IF('[1]Leakage Tree Data'!T171&lt;&gt;"",'[1]Leakage Tree Data'!T171,"")</f>
        <v>0.462380188496997</v>
      </c>
      <c s="72">
        <f>IF('[1]Leakage Tree Data'!U171&lt;&gt;"",'[1]Leakage Tree Data'!U171,"")</f>
        <v>393811.530303955</v>
      </c>
      <c s="72">
        <f>IF('[1]Leakage Tree Data'!V171&lt;&gt;"",'[1]Leakage Tree Data'!V171,"")</f>
        <v>-0.462380188497008</v>
      </c>
      <c s="72">
        <f>IF('[1]Leakage Tree Data'!W171&lt;&gt;"",'[1]Leakage Tree Data'!W171,"")</f>
        <v>-1855949.2237854</v>
      </c>
      <c s="72">
        <f>IF('[1]Leakage Tree Data'!X171&lt;&gt;"",'[1]Leakage Tree Data'!X171,"")</f>
      </c>
      <c s="72">
        <f>IF('[1]Leakage Tree Data'!Y171&lt;&gt;"",'[1]Leakage Tree Data'!Y171,"")</f>
      </c>
      <c s="72">
        <f>IF('[1]Leakage Tree Data'!Z171&lt;&gt;"",'[1]Leakage Tree Data'!Z171,"")</f>
      </c>
      <c s="72">
        <f>IF('[1]Leakage Tree Data'!AA171&lt;&gt;"",'[1]Leakage Tree Data'!AA171,"")</f>
      </c>
      <c s="72">
        <f>IF('[1]Leakage Tree Data'!AB171&lt;&gt;"",'[1]Leakage Tree Data'!AB171,"")</f>
      </c>
      <c s="72">
        <f>IF('[1]Leakage Tree Data'!AC171&lt;&gt;"",'[1]Leakage Tree Data'!AC171,"")</f>
      </c>
      <c s="72">
        <f>IF('[1]Leakage Tree Data'!AD171&lt;&gt;"",'[1]Leakage Tree Data'!AD171,"")</f>
      </c>
      <c s="72">
        <f>IF('[1]Leakage Tree Data'!AE171&lt;&gt;"",'[1]Leakage Tree Data'!AE171,"")</f>
      </c>
      <c s="73">
        <f t="shared" si="49"/>
      </c>
      <c s="73">
        <f t="shared" si="50"/>
      </c>
      <c s="73">
        <f t="shared" si="51"/>
      </c>
      <c s="73">
        <f t="shared" si="52"/>
      </c>
      <c s="74">
        <f t="shared" si="53"/>
      </c>
      <c s="74">
        <f t="shared" si="54"/>
      </c>
      <c s="69" t="str">
        <f t="shared" si="55"/>
        <v>Total US - Ulta Beauty</v>
      </c>
      <c s="69" t="str">
        <f t="shared" si="56"/>
        <v>Total US - Specialty Stores</v>
      </c>
    </row>
    <row r="273" spans="1:140" ht="15">
      <c r="A273"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273,$AL$8:$AL$15,1,FALSE))=TRUE,IF(AND(CV273=CW273,CV273&lt;&gt;"",DI$111&lt;&gt;"",DK273&lt;&gt;""),IF(CW$101="Y",DK273-IF(ISERROR(VLOOKUP(CV273,$CA$113:$DK$300,37,FALSE))=TRUE,0,IF(VLOOKUP(CV273,$CA$113:$DK$300,37,FALSE)="",0,VLOOKUP(CV273,$CA$113:$DK$300,37,FALSE))),DK273-IF(AND(CW$102="Y",CV273=$CW$111),DI$111,0)),""),"")</f>
      </c>
      <c s="76">
        <f>IF(ISERROR(VLOOKUP(CV273,$AL$8:$AL$15,1,FALSE))=TRUE,IF(CB273&lt;&gt;"",IF(CB273&gt;0,IF(Z$4&lt;&gt;"",MIN(4,RANK(CB273,$CB$111:$CB$300)),RANK(CB273,$CB$111:$CB$300)),""),""),"")</f>
      </c>
      <c s="75">
        <f>IF(ISERROR(VLOOKUP(CV273,$AL$8:$AL$15,1,FALSE))=TRUE,IF(AND(ISERROR(FIND("NeighMkt",$CX$102))=FALSE,LEFT($CW$111,10)="ALL OUTLET",$CA273&lt;&gt;"",DK273&lt;&gt;""),"",IF(AND($CV273&lt;&gt;$CW273,$CW273=CD$110),$DK273,"")),"")</f>
      </c>
      <c s="76">
        <f>IF(ISERROR(VLOOKUP(CV273,$AL$8:$AL$15,1,FALSE))=TRUE,IF(CD273&lt;&gt;"",IF(CD273&gt;0,RANK(CD273,$CD$111:$CD$300),""),""),"")</f>
      </c>
      <c s="75">
        <f>IF(ISERROR(VLOOKUP(CV273,$AL$8:$AL$15,1,FALSE))=TRUE,IF(AND(ISERROR(FIND("NeighMkt",$CX$102))=FALSE,LEFT($CW$111,10)="ALL OUTLET",$CA273&lt;&gt;"",DK273&lt;&gt;""),"",IF(AND($CV273&lt;&gt;$CW273,$CW273=CF$110),$DK273,"")),"")</f>
      </c>
      <c s="76">
        <f>IF(ISERROR(VLOOKUP(CV273,$AL$8:$AL$15,1,FALSE))=TRUE,IF(CF273&lt;&gt;"",IF(CF273&gt;0,RANK(CF273,$CF$111:$CF$300),""),""),"")</f>
      </c>
      <c s="75">
        <f>IF(ISERROR(VLOOKUP(CV273,$AL$8:$AL$15,1,FALSE))=TRUE,IF(AND(ISERROR(FIND("NeighMkt",$CX$102))=FALSE,LEFT($CW$111,10)="ALL OUTLET",$CA273&lt;&gt;"",DK273&lt;&gt;""),"",IF(AND($CV273&lt;&gt;$CW273,$CW273=CH$110),$DK273,"")),"")</f>
      </c>
      <c s="76">
        <f>IF(ISERROR(VLOOKUP(CV273,$AL$8:$AL$15,1,FALSE))=TRUE,IF(CH273&lt;&gt;"",IF(CH273&gt;0,RANK(CH273,$CH$111:$CH$300),""),""),"")</f>
      </c>
      <c s="75">
        <f>IF(ISERROR(VLOOKUP(CV273,$AL$8:$AL$15,1,FALSE))=TRUE,IF(AND(ISERROR(FIND("NeighMkt",$CX$102))=FALSE,LEFT($CW$111,10)="ALL OUTLET",$CA273&lt;&gt;"",DK273&lt;&gt;""),"",IF($Z$4="",IF(AND($CV273&lt;&gt;$CW273,$CW273=CJ$110),$DK273,""),IF(AND($CV273&lt;&gt;$CW273,$CW273&lt;&gt;CD$110,$CW273&lt;&gt;CF$110,$CW273&lt;&gt;CH$110,$CW273&lt;&gt;$CV$111),$DK273,""))),"")</f>
      </c>
      <c s="76">
        <f>IF(ISERROR(VLOOKUP(CV273,$AL$8:$AL$15,1,FALSE))=TRUE,IF(CJ273&lt;&gt;"",IF(CJ273&gt;0,RANK(CJ273,$CJ$111:$CJ$300),""),""),"")</f>
      </c>
      <c s="75">
        <f>IF(ISERROR(VLOOKUP(CV273,$AL$8:$AL$15,1,FALSE))=TRUE,IF(AND(CV273=CW273,CV273&lt;&gt;"",DJ273&lt;&gt;""),IF(AND(ISERROR(FIND("NeighMkt",$CX$102))=FALSE,LEFT($CW$111,10)="ALL OUTLET"),DJ273-IF(ISERROR(VLOOKUP(CV273,$CA$113:$DK$300,36,FALSE))=TRUE,0,IF(VLOOKUP(CV273,$CA$113:$DK$300,36,FALSE)="",0,VLOOKUP(CV273,$CA$113:$DK$300,36,FALSE))),DJ273),""),"")</f>
      </c>
      <c s="76">
        <f>IF(ISERROR(VLOOKUP(CV273,$AL$8:$AL$15,1,FALSE))=TRUE,IF(CL273&lt;&gt;"",IF(CL273&gt;0,IF($Z$4&lt;&gt;"",MIN(4,RANK(CL273,$CL$111:$CL$300)),RANK(CL273,$CL$111:$CL$300)),""),""),"")</f>
      </c>
      <c s="75">
        <f>IF(ISERROR(VLOOKUP(CV273,$AL$8:$AL$15,1,FALSE))=TRUE,IF(AND(ISERROR(FIND("NeighMkt",$CX$102))=FALSE,LEFT($CW$111,10)="ALL OUTLET",$CA273&lt;&gt;"",DJ273&lt;&gt;""),"",IF(AND($CV273&lt;&gt;$CW273,$CW273=CN$110),$DJ273,"")),"")</f>
      </c>
      <c s="76">
        <f>IF(ISERROR(VLOOKUP(CV273,$AL$8:$AL$15,1,FALSE))=TRUE,IF(CN273&lt;&gt;"",IF(CN273&gt;0,RANK(CN273,$CN$111:$CN$300),""),""),"")</f>
      </c>
      <c s="75">
        <f>IF(ISERROR(VLOOKUP(CV273,$AL$8:$AL$15,1,FALSE))=TRUE,IF(AND(ISERROR(FIND("NeighMkt",$CX$102))=FALSE,LEFT($CW$111,10)="ALL OUTLET",$CA273&lt;&gt;"",DJ273&lt;&gt;""),"",IF(AND($CV273&lt;&gt;$CW273,$CW273=CP$110),$DJ273,"")),"")</f>
      </c>
      <c s="76">
        <f>IF(ISERROR(VLOOKUP(CV273,$AL$8:$AL$15,1,FALSE))=TRUE,IF(CP273&lt;&gt;"",IF(CP273&gt;0,RANK(CP273,$CP$111:$CP$300),""),""),"")</f>
      </c>
      <c s="75">
        <f>IF(ISERROR(VLOOKUP(CV273,$AL$8:$AL$15,1,FALSE))=TRUE,IF(AND(ISERROR(FIND("NeighMkt",$CX$102))=FALSE,LEFT($CW$111,10)="ALL OUTLET",$CA273&lt;&gt;"",DJ273&lt;&gt;""),"",IF(AND($CV273&lt;&gt;$CW273,$CW273=CR$110),$DJ273,"")),"")</f>
      </c>
      <c s="76">
        <f>IF(ISERROR(VLOOKUP(CV273,$AL$8:$AL$15,1,FALSE))=TRUE,IF(CR273&lt;&gt;"",IF(CR273&gt;0,RANK(CR273,$CR$111:$CR$300),""),""),"")</f>
      </c>
      <c s="75">
        <f>IF(ISERROR(VLOOKUP(CV273,$AL$8:$AL$15,1,FALSE))=TRUE,IF(AND(ISERROR(FIND("NeighMkt",$CX$102))=FALSE,LEFT($CW$111,10)="ALL OUTLET",$CA273&lt;&gt;"",DJ273&lt;&gt;""),"",IF($Z$4="",IF(AND($CV273&lt;&gt;$CW273,$CW273=CT$110),$DJ273,""),IF(AND($CV273&lt;&gt;$CW273,$CW273&lt;&gt;CN$110,$CW273&lt;&gt;CP$110,$CW273&lt;&gt;CR$110,$CW273&lt;&gt;$CV$111),$DJ273,""))),"")</f>
      </c>
      <c s="76">
        <f>IF(ISERROR(VLOOKUP(CV273,$AL$8:$AL$15,1,FALSE))=TRUE,IF(CT273&lt;&gt;"",IF(CT273&gt;0,RANK(CT273,$CT$111:$CT$300),""),""),"")</f>
      </c>
      <c s="65" t="str">
        <f t="shared" si="47"/>
        <v>Toy</v>
      </c>
      <c s="65" t="str">
        <f t="shared" si="48"/>
        <v>Toy</v>
      </c>
      <c s="72" t="str">
        <f>IF('[1]Leakage Tree Data'!A172&lt;&gt;"",'[1]Leakage Tree Data'!A172,"")</f>
        <v>Total US - Toy</v>
      </c>
      <c s="72" t="str">
        <f>IF('[1]Leakage Tree Data'!B172&lt;&gt;"",'[1]Leakage Tree Data'!B172,"")</f>
        <v>Total US - Toy</v>
      </c>
      <c s="72">
        <f>IF('[1]Leakage Tree Data'!C172&lt;&gt;"",'[1]Leakage Tree Data'!C172,"")</f>
        <v>121171760.292236</v>
      </c>
      <c s="72">
        <f>IF('[1]Leakage Tree Data'!D172&lt;&gt;"",'[1]Leakage Tree Data'!D172,"")</f>
        <v>14911289.1411133</v>
      </c>
      <c s="72">
        <f>IF('[1]Leakage Tree Data'!E172&lt;&gt;"",'[1]Leakage Tree Data'!E172,"")</f>
        <v>12.3059111340389</v>
      </c>
      <c s="72">
        <f>IF('[1]Leakage Tree Data'!F172&lt;&gt;"",'[1]Leakage Tree Data'!F172,"")</f>
        <v>106260471.151123</v>
      </c>
      <c s="72">
        <f>IF('[1]Leakage Tree Data'!G172&lt;&gt;"",'[1]Leakage Tree Data'!G172,"")</f>
        <v>87.6940888659611</v>
      </c>
      <c s="72">
        <f>IF('[1]Leakage Tree Data'!H172&lt;&gt;"",'[1]Leakage Tree Data'!H172,"")</f>
        <v>61518209.9918823</v>
      </c>
      <c s="72" t="str">
        <f>IF('[1]Leakage Tree Data'!I172&lt;&gt;"",'[1]Leakage Tree Data'!I172,"")</f>
        <v>Toy</v>
      </c>
      <c s="72">
        <f>IF('[1]Leakage Tree Data'!J172&lt;&gt;"",'[1]Leakage Tree Data'!J172,"")</f>
      </c>
      <c s="72">
        <f>IF('[1]Leakage Tree Data'!K172&lt;&gt;"",'[1]Leakage Tree Data'!K172,"")</f>
      </c>
      <c s="72">
        <f>IF('[1]Leakage Tree Data'!L172&lt;&gt;"",'[1]Leakage Tree Data'!L172,"")</f>
      </c>
      <c s="72">
        <f>IF('[1]Leakage Tree Data'!M172&lt;&gt;"",'[1]Leakage Tree Data'!M172,"")</f>
      </c>
      <c s="72">
        <f>IF('[1]Leakage Tree Data'!N172&lt;&gt;"",'[1]Leakage Tree Data'!N172,"")</f>
      </c>
      <c s="72">
        <f>IF('[1]Leakage Tree Data'!O172&lt;&gt;"",'[1]Leakage Tree Data'!O172,"")</f>
        <v>1.22376844912269</v>
      </c>
      <c s="72">
        <f>IF('[1]Leakage Tree Data'!P172&lt;&gt;"",'[1]Leakage Tree Data'!P172,"")</f>
        <v>2694336.50560184</v>
      </c>
      <c s="72">
        <f>IF('[1]Leakage Tree Data'!Q172&lt;&gt;"",'[1]Leakage Tree Data'!Q172,"")</f>
      </c>
      <c s="72">
        <f>IF('[1]Leakage Tree Data'!R172&lt;&gt;"",'[1]Leakage Tree Data'!R172,"")</f>
        <v>1017625.85098267</v>
      </c>
      <c s="72">
        <f>IF('[1]Leakage Tree Data'!S172&lt;&gt;"",'[1]Leakage Tree Data'!S172,"")</f>
        <v>-2277153.65472412</v>
      </c>
      <c s="72">
        <f>IF('[1]Leakage Tree Data'!T172&lt;&gt;"",'[1]Leakage Tree Data'!T172,"")</f>
        <v>-1.99941666493186</v>
      </c>
      <c s="72">
        <f>IF('[1]Leakage Tree Data'!U172&lt;&gt;"",'[1]Leakage Tree Data'!U172,"")</f>
        <v>3294779.50570679</v>
      </c>
      <c s="72">
        <f>IF('[1]Leakage Tree Data'!V172&lt;&gt;"",'[1]Leakage Tree Data'!V172,"")</f>
        <v>1.99941666493186</v>
      </c>
      <c s="72">
        <f>IF('[1]Leakage Tree Data'!W172&lt;&gt;"",'[1]Leakage Tree Data'!W172,"")</f>
        <v>-1855949.2237854</v>
      </c>
      <c s="72">
        <f>IF('[1]Leakage Tree Data'!X172&lt;&gt;"",'[1]Leakage Tree Data'!X172,"")</f>
      </c>
      <c s="72">
        <f>IF('[1]Leakage Tree Data'!Y172&lt;&gt;"",'[1]Leakage Tree Data'!Y172,"")</f>
      </c>
      <c s="72">
        <f>IF('[1]Leakage Tree Data'!Z172&lt;&gt;"",'[1]Leakage Tree Data'!Z172,"")</f>
      </c>
      <c s="72">
        <f>IF('[1]Leakage Tree Data'!AA172&lt;&gt;"",'[1]Leakage Tree Data'!AA172,"")</f>
      </c>
      <c s="72">
        <f>IF('[1]Leakage Tree Data'!AB172&lt;&gt;"",'[1]Leakage Tree Data'!AB172,"")</f>
      </c>
      <c s="72">
        <f>IF('[1]Leakage Tree Data'!AC172&lt;&gt;"",'[1]Leakage Tree Data'!AC172,"")</f>
      </c>
      <c s="72">
        <f>IF('[1]Leakage Tree Data'!AD172&lt;&gt;"",'[1]Leakage Tree Data'!AD172,"")</f>
      </c>
      <c s="72">
        <f>IF('[1]Leakage Tree Data'!AE172&lt;&gt;"",'[1]Leakage Tree Data'!AE172,"")</f>
      </c>
      <c s="73">
        <f t="shared" si="49"/>
      </c>
      <c s="73">
        <f t="shared" si="50"/>
      </c>
      <c s="73">
        <f t="shared" si="51"/>
      </c>
      <c s="73">
        <f t="shared" si="52"/>
      </c>
      <c s="74">
        <f t="shared" si="53"/>
      </c>
      <c s="74">
        <f t="shared" si="54"/>
      </c>
      <c s="69" t="str">
        <f t="shared" si="55"/>
        <v>Total US - Toy</v>
      </c>
      <c s="69" t="str">
        <f t="shared" si="56"/>
        <v>Total US - Toy</v>
      </c>
    </row>
    <row r="274" spans="1:140" ht="15">
      <c r="A274"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274,$AL$8:$AL$15,1,FALSE))=TRUE,IF(AND(CV274=CW274,CV274&lt;&gt;"",DI$111&lt;&gt;"",DK274&lt;&gt;""),IF(CW$101="Y",DK274-IF(ISERROR(VLOOKUP(CV274,$CA$113:$DK$300,37,FALSE))=TRUE,0,IF(VLOOKUP(CV274,$CA$113:$DK$300,37,FALSE)="",0,VLOOKUP(CV274,$CA$113:$DK$300,37,FALSE))),DK274-IF(AND(CW$102="Y",CV274=$CW$111),DI$111,0)),""),"")</f>
      </c>
      <c s="76">
        <f>IF(ISERROR(VLOOKUP(CV274,$AL$8:$AL$15,1,FALSE))=TRUE,IF(CB274&lt;&gt;"",IF(CB274&gt;0,IF(Z$4&lt;&gt;"",MIN(4,RANK(CB274,$CB$111:$CB$300)),RANK(CB274,$CB$111:$CB$300)),""),""),"")</f>
      </c>
      <c s="75">
        <f>IF(ISERROR(VLOOKUP(CV274,$AL$8:$AL$15,1,FALSE))=TRUE,IF(AND(ISERROR(FIND("NeighMkt",$CX$102))=FALSE,LEFT($CW$111,10)="ALL OUTLET",$CA274&lt;&gt;"",DK274&lt;&gt;""),"",IF(AND($CV274&lt;&gt;$CW274,$CW274=CD$110),$DK274,"")),"")</f>
      </c>
      <c s="76">
        <f>IF(ISERROR(VLOOKUP(CV274,$AL$8:$AL$15,1,FALSE))=TRUE,IF(CD274&lt;&gt;"",IF(CD274&gt;0,RANK(CD274,$CD$111:$CD$300),""),""),"")</f>
      </c>
      <c s="75">
        <f>IF(ISERROR(VLOOKUP(CV274,$AL$8:$AL$15,1,FALSE))=TRUE,IF(AND(ISERROR(FIND("NeighMkt",$CX$102))=FALSE,LEFT($CW$111,10)="ALL OUTLET",$CA274&lt;&gt;"",DK274&lt;&gt;""),"",IF(AND($CV274&lt;&gt;$CW274,$CW274=CF$110),$DK274,"")),"")</f>
      </c>
      <c s="76">
        <f>IF(ISERROR(VLOOKUP(CV274,$AL$8:$AL$15,1,FALSE))=TRUE,IF(CF274&lt;&gt;"",IF(CF274&gt;0,RANK(CF274,$CF$111:$CF$300),""),""),"")</f>
      </c>
      <c s="75">
        <f>IF(ISERROR(VLOOKUP(CV274,$AL$8:$AL$15,1,FALSE))=TRUE,IF(AND(ISERROR(FIND("NeighMkt",$CX$102))=FALSE,LEFT($CW$111,10)="ALL OUTLET",$CA274&lt;&gt;"",DK274&lt;&gt;""),"",IF(AND($CV274&lt;&gt;$CW274,$CW274=CH$110),$DK274,"")),"")</f>
      </c>
      <c s="76">
        <f>IF(ISERROR(VLOOKUP(CV274,$AL$8:$AL$15,1,FALSE))=TRUE,IF(CH274&lt;&gt;"",IF(CH274&gt;0,RANK(CH274,$CH$111:$CH$300),""),""),"")</f>
      </c>
      <c s="75">
        <f>IF(ISERROR(VLOOKUP(CV274,$AL$8:$AL$15,1,FALSE))=TRUE,IF(AND(ISERROR(FIND("NeighMkt",$CX$102))=FALSE,LEFT($CW$111,10)="ALL OUTLET",$CA274&lt;&gt;"",DK274&lt;&gt;""),"",IF($Z$4="",IF(AND($CV274&lt;&gt;$CW274,$CW274=CJ$110),$DK274,""),IF(AND($CV274&lt;&gt;$CW274,$CW274&lt;&gt;CD$110,$CW274&lt;&gt;CF$110,$CW274&lt;&gt;CH$110,$CW274&lt;&gt;$CV$111),$DK274,""))),"")</f>
      </c>
      <c s="76">
        <f>IF(ISERROR(VLOOKUP(CV274,$AL$8:$AL$15,1,FALSE))=TRUE,IF(CJ274&lt;&gt;"",IF(CJ274&gt;0,RANK(CJ274,$CJ$111:$CJ$300),""),""),"")</f>
      </c>
      <c s="75">
        <f>IF(ISERROR(VLOOKUP(CV274,$AL$8:$AL$15,1,FALSE))=TRUE,IF(AND(CV274=CW274,CV274&lt;&gt;"",DJ274&lt;&gt;""),IF(AND(ISERROR(FIND("NeighMkt",$CX$102))=FALSE,LEFT($CW$111,10)="ALL OUTLET"),DJ274-IF(ISERROR(VLOOKUP(CV274,$CA$113:$DK$300,36,FALSE))=TRUE,0,IF(VLOOKUP(CV274,$CA$113:$DK$300,36,FALSE)="",0,VLOOKUP(CV274,$CA$113:$DK$300,36,FALSE))),DJ274),""),"")</f>
      </c>
      <c s="76">
        <f>IF(ISERROR(VLOOKUP(CV274,$AL$8:$AL$15,1,FALSE))=TRUE,IF(CL274&lt;&gt;"",IF(CL274&gt;0,IF($Z$4&lt;&gt;"",MIN(4,RANK(CL274,$CL$111:$CL$300)),RANK(CL274,$CL$111:$CL$300)),""),""),"")</f>
      </c>
      <c s="75">
        <f>IF(ISERROR(VLOOKUP(CV274,$AL$8:$AL$15,1,FALSE))=TRUE,IF(AND(ISERROR(FIND("NeighMkt",$CX$102))=FALSE,LEFT($CW$111,10)="ALL OUTLET",$CA274&lt;&gt;"",DJ274&lt;&gt;""),"",IF(AND($CV274&lt;&gt;$CW274,$CW274=CN$110),$DJ274,"")),"")</f>
      </c>
      <c s="76">
        <f>IF(ISERROR(VLOOKUP(CV274,$AL$8:$AL$15,1,FALSE))=TRUE,IF(CN274&lt;&gt;"",IF(CN274&gt;0,RANK(CN274,$CN$111:$CN$300),""),""),"")</f>
      </c>
      <c s="75">
        <f>IF(ISERROR(VLOOKUP(CV274,$AL$8:$AL$15,1,FALSE))=TRUE,IF(AND(ISERROR(FIND("NeighMkt",$CX$102))=FALSE,LEFT($CW$111,10)="ALL OUTLET",$CA274&lt;&gt;"",DJ274&lt;&gt;""),"",IF(AND($CV274&lt;&gt;$CW274,$CW274=CP$110),$DJ274,"")),"")</f>
      </c>
      <c s="76">
        <f>IF(ISERROR(VLOOKUP(CV274,$AL$8:$AL$15,1,FALSE))=TRUE,IF(CP274&lt;&gt;"",IF(CP274&gt;0,RANK(CP274,$CP$111:$CP$300),""),""),"")</f>
      </c>
      <c s="75">
        <f>IF(ISERROR(VLOOKUP(CV274,$AL$8:$AL$15,1,FALSE))=TRUE,IF(AND(ISERROR(FIND("NeighMkt",$CX$102))=FALSE,LEFT($CW$111,10)="ALL OUTLET",$CA274&lt;&gt;"",DJ274&lt;&gt;""),"",IF(AND($CV274&lt;&gt;$CW274,$CW274=CR$110),$DJ274,"")),"")</f>
      </c>
      <c s="76">
        <f>IF(ISERROR(VLOOKUP(CV274,$AL$8:$AL$15,1,FALSE))=TRUE,IF(CR274&lt;&gt;"",IF(CR274&gt;0,RANK(CR274,$CR$111:$CR$300),""),""),"")</f>
      </c>
      <c s="75">
        <f>IF(ISERROR(VLOOKUP(CV274,$AL$8:$AL$15,1,FALSE))=TRUE,IF(AND(ISERROR(FIND("NeighMkt",$CX$102))=FALSE,LEFT($CW$111,10)="ALL OUTLET",$CA274&lt;&gt;"",DJ274&lt;&gt;""),"",IF($Z$4="",IF(AND($CV274&lt;&gt;$CW274,$CW274=CT$110),$DJ274,""),IF(AND($CV274&lt;&gt;$CW274,$CW274&lt;&gt;CN$110,$CW274&lt;&gt;CP$110,$CW274&lt;&gt;CR$110,$CW274&lt;&gt;$CV$111),$DJ274,""))),"")</f>
      </c>
      <c s="76">
        <f>IF(ISERROR(VLOOKUP(CV274,$AL$8:$AL$15,1,FALSE))=TRUE,IF(CT274&lt;&gt;"",IF(CT274&gt;0,RANK(CT274,$CT$111:$CT$300),""),""),"")</f>
      </c>
      <c s="65" t="str">
        <f t="shared" si="47"/>
        <v>Babies R US</v>
      </c>
      <c s="65" t="str">
        <f t="shared" si="48"/>
        <v>Toy</v>
      </c>
      <c s="72" t="str">
        <f>IF('[1]Leakage Tree Data'!A173&lt;&gt;"",'[1]Leakage Tree Data'!A173,"")</f>
        <v>Total US - Babies R US</v>
      </c>
      <c s="72" t="str">
        <f>IF('[1]Leakage Tree Data'!B173&lt;&gt;"",'[1]Leakage Tree Data'!B173,"")</f>
        <v>Total US - Toy</v>
      </c>
      <c s="72">
        <f>IF('[1]Leakage Tree Data'!C173&lt;&gt;"",'[1]Leakage Tree Data'!C173,"")</f>
        <v>121171760.292236</v>
      </c>
      <c s="72">
        <f>IF('[1]Leakage Tree Data'!D173&lt;&gt;"",'[1]Leakage Tree Data'!D173,"")</f>
        <v>3476085.02423096</v>
      </c>
      <c s="72">
        <f>IF('[1]Leakage Tree Data'!E173&lt;&gt;"",'[1]Leakage Tree Data'!E173,"")</f>
        <v>2.86872536624664</v>
      </c>
      <c s="72">
        <f>IF('[1]Leakage Tree Data'!F173&lt;&gt;"",'[1]Leakage Tree Data'!F173,"")</f>
        <v>117695675.268005</v>
      </c>
      <c s="72">
        <f>IF('[1]Leakage Tree Data'!G173&lt;&gt;"",'[1]Leakage Tree Data'!G173,"")</f>
        <v>97.1312746337534</v>
      </c>
      <c s="72">
        <f>IF('[1]Leakage Tree Data'!H173&lt;&gt;"",'[1]Leakage Tree Data'!H173,"")</f>
        <v>61518209.9918823</v>
      </c>
      <c s="72" t="str">
        <f>IF('[1]Leakage Tree Data'!I173&lt;&gt;"",'[1]Leakage Tree Data'!I173,"")</f>
        <v>Toy</v>
      </c>
      <c s="72">
        <f>IF('[1]Leakage Tree Data'!J173&lt;&gt;"",'[1]Leakage Tree Data'!J173,"")</f>
      </c>
      <c s="72">
        <f>IF('[1]Leakage Tree Data'!K173&lt;&gt;"",'[1]Leakage Tree Data'!K173,"")</f>
      </c>
      <c s="72">
        <f>IF('[1]Leakage Tree Data'!L173&lt;&gt;"",'[1]Leakage Tree Data'!L173,"")</f>
      </c>
      <c s="72">
        <f>IF('[1]Leakage Tree Data'!M173&lt;&gt;"",'[1]Leakage Tree Data'!M173,"")</f>
      </c>
      <c s="72">
        <f>IF('[1]Leakage Tree Data'!N173&lt;&gt;"",'[1]Leakage Tree Data'!N173,"")</f>
      </c>
      <c s="72">
        <f>IF('[1]Leakage Tree Data'!O173&lt;&gt;"",'[1]Leakage Tree Data'!O173,"")</f>
      </c>
      <c s="72">
        <f>IF('[1]Leakage Tree Data'!P173&lt;&gt;"",'[1]Leakage Tree Data'!P173,"")</f>
      </c>
      <c s="72">
        <f>IF('[1]Leakage Tree Data'!Q173&lt;&gt;"",'[1]Leakage Tree Data'!Q173,"")</f>
      </c>
      <c s="72">
        <f>IF('[1]Leakage Tree Data'!R173&lt;&gt;"",'[1]Leakage Tree Data'!R173,"")</f>
        <v>1017625.85098267</v>
      </c>
      <c s="72">
        <f>IF('[1]Leakage Tree Data'!S173&lt;&gt;"",'[1]Leakage Tree Data'!S173,"")</f>
        <v>-905346.019958496</v>
      </c>
      <c s="72">
        <f>IF('[1]Leakage Tree Data'!T173&lt;&gt;"",'[1]Leakage Tree Data'!T173,"")</f>
        <v>-0.777783398985774</v>
      </c>
      <c s="72">
        <f>IF('[1]Leakage Tree Data'!U173&lt;&gt;"",'[1]Leakage Tree Data'!U173,"")</f>
        <v>1922971.87094116</v>
      </c>
      <c s="72">
        <f>IF('[1]Leakage Tree Data'!V173&lt;&gt;"",'[1]Leakage Tree Data'!V173,"")</f>
        <v>0.777783398985775</v>
      </c>
      <c s="72">
        <f>IF('[1]Leakage Tree Data'!W173&lt;&gt;"",'[1]Leakage Tree Data'!W173,"")</f>
        <v>-1855949.2237854</v>
      </c>
      <c s="72">
        <f>IF('[1]Leakage Tree Data'!X173&lt;&gt;"",'[1]Leakage Tree Data'!X173,"")</f>
      </c>
      <c s="72">
        <f>IF('[1]Leakage Tree Data'!Y173&lt;&gt;"",'[1]Leakage Tree Data'!Y173,"")</f>
      </c>
      <c s="72">
        <f>IF('[1]Leakage Tree Data'!Z173&lt;&gt;"",'[1]Leakage Tree Data'!Z173,"")</f>
      </c>
      <c s="72">
        <f>IF('[1]Leakage Tree Data'!AA173&lt;&gt;"",'[1]Leakage Tree Data'!AA173,"")</f>
      </c>
      <c s="72">
        <f>IF('[1]Leakage Tree Data'!AB173&lt;&gt;"",'[1]Leakage Tree Data'!AB173,"")</f>
      </c>
      <c s="72">
        <f>IF('[1]Leakage Tree Data'!AC173&lt;&gt;"",'[1]Leakage Tree Data'!AC173,"")</f>
      </c>
      <c s="72">
        <f>IF('[1]Leakage Tree Data'!AD173&lt;&gt;"",'[1]Leakage Tree Data'!AD173,"")</f>
      </c>
      <c s="72">
        <f>IF('[1]Leakage Tree Data'!AE173&lt;&gt;"",'[1]Leakage Tree Data'!AE173,"")</f>
      </c>
      <c s="73">
        <f t="shared" si="49"/>
      </c>
      <c s="73">
        <f t="shared" si="50"/>
      </c>
      <c s="73">
        <f t="shared" si="51"/>
      </c>
      <c s="73">
        <f t="shared" si="52"/>
      </c>
      <c s="74">
        <f t="shared" si="53"/>
      </c>
      <c s="74">
        <f t="shared" si="54"/>
      </c>
      <c s="69" t="str">
        <f t="shared" si="55"/>
        <v>Total US - Babies R US</v>
      </c>
      <c s="69" t="str">
        <f t="shared" si="56"/>
        <v>Total US - Toy</v>
      </c>
    </row>
    <row r="275" spans="1:140" ht="15">
      <c r="A275"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275,$AL$8:$AL$15,1,FALSE))=TRUE,IF(AND(CV275=CW275,CV275&lt;&gt;"",DI$111&lt;&gt;"",DK275&lt;&gt;""),IF(CW$101="Y",DK275-IF(ISERROR(VLOOKUP(CV275,$CA$113:$DK$300,37,FALSE))=TRUE,0,IF(VLOOKUP(CV275,$CA$113:$DK$300,37,FALSE)="",0,VLOOKUP(CV275,$CA$113:$DK$300,37,FALSE))),DK275-IF(AND(CW$102="Y",CV275=$CW$111),DI$111,0)),""),"")</f>
      </c>
      <c s="76">
        <f>IF(ISERROR(VLOOKUP(CV275,$AL$8:$AL$15,1,FALSE))=TRUE,IF(CB275&lt;&gt;"",IF(CB275&gt;0,IF(Z$4&lt;&gt;"",MIN(4,RANK(CB275,$CB$111:$CB$300)),RANK(CB275,$CB$111:$CB$300)),""),""),"")</f>
      </c>
      <c s="75">
        <f>IF(ISERROR(VLOOKUP(CV275,$AL$8:$AL$15,1,FALSE))=TRUE,IF(AND(ISERROR(FIND("NeighMkt",$CX$102))=FALSE,LEFT($CW$111,10)="ALL OUTLET",$CA275&lt;&gt;"",DK275&lt;&gt;""),"",IF(AND($CV275&lt;&gt;$CW275,$CW275=CD$110),$DK275,"")),"")</f>
      </c>
      <c s="76">
        <f>IF(ISERROR(VLOOKUP(CV275,$AL$8:$AL$15,1,FALSE))=TRUE,IF(CD275&lt;&gt;"",IF(CD275&gt;0,RANK(CD275,$CD$111:$CD$300),""),""),"")</f>
      </c>
      <c s="75">
        <f>IF(ISERROR(VLOOKUP(CV275,$AL$8:$AL$15,1,FALSE))=TRUE,IF(AND(ISERROR(FIND("NeighMkt",$CX$102))=FALSE,LEFT($CW$111,10)="ALL OUTLET",$CA275&lt;&gt;"",DK275&lt;&gt;""),"",IF(AND($CV275&lt;&gt;$CW275,$CW275=CF$110),$DK275,"")),"")</f>
      </c>
      <c s="76">
        <f>IF(ISERROR(VLOOKUP(CV275,$AL$8:$AL$15,1,FALSE))=TRUE,IF(CF275&lt;&gt;"",IF(CF275&gt;0,RANK(CF275,$CF$111:$CF$300),""),""),"")</f>
      </c>
      <c s="75">
        <f>IF(ISERROR(VLOOKUP(CV275,$AL$8:$AL$15,1,FALSE))=TRUE,IF(AND(ISERROR(FIND("NeighMkt",$CX$102))=FALSE,LEFT($CW$111,10)="ALL OUTLET",$CA275&lt;&gt;"",DK275&lt;&gt;""),"",IF(AND($CV275&lt;&gt;$CW275,$CW275=CH$110),$DK275,"")),"")</f>
      </c>
      <c s="76">
        <f>IF(ISERROR(VLOOKUP(CV275,$AL$8:$AL$15,1,FALSE))=TRUE,IF(CH275&lt;&gt;"",IF(CH275&gt;0,RANK(CH275,$CH$111:$CH$300),""),""),"")</f>
      </c>
      <c s="75">
        <f>IF(ISERROR(VLOOKUP(CV275,$AL$8:$AL$15,1,FALSE))=TRUE,IF(AND(ISERROR(FIND("NeighMkt",$CX$102))=FALSE,LEFT($CW$111,10)="ALL OUTLET",$CA275&lt;&gt;"",DK275&lt;&gt;""),"",IF($Z$4="",IF(AND($CV275&lt;&gt;$CW275,$CW275=CJ$110),$DK275,""),IF(AND($CV275&lt;&gt;$CW275,$CW275&lt;&gt;CD$110,$CW275&lt;&gt;CF$110,$CW275&lt;&gt;CH$110,$CW275&lt;&gt;$CV$111),$DK275,""))),"")</f>
      </c>
      <c s="76">
        <f>IF(ISERROR(VLOOKUP(CV275,$AL$8:$AL$15,1,FALSE))=TRUE,IF(CJ275&lt;&gt;"",IF(CJ275&gt;0,RANK(CJ275,$CJ$111:$CJ$300),""),""),"")</f>
      </c>
      <c s="75">
        <f>IF(ISERROR(VLOOKUP(CV275,$AL$8:$AL$15,1,FALSE))=TRUE,IF(AND(CV275=CW275,CV275&lt;&gt;"",DJ275&lt;&gt;""),IF(AND(ISERROR(FIND("NeighMkt",$CX$102))=FALSE,LEFT($CW$111,10)="ALL OUTLET"),DJ275-IF(ISERROR(VLOOKUP(CV275,$CA$113:$DK$300,36,FALSE))=TRUE,0,IF(VLOOKUP(CV275,$CA$113:$DK$300,36,FALSE)="",0,VLOOKUP(CV275,$CA$113:$DK$300,36,FALSE))),DJ275),""),"")</f>
      </c>
      <c s="76">
        <f>IF(ISERROR(VLOOKUP(CV275,$AL$8:$AL$15,1,FALSE))=TRUE,IF(CL275&lt;&gt;"",IF(CL275&gt;0,IF($Z$4&lt;&gt;"",MIN(4,RANK(CL275,$CL$111:$CL$300)),RANK(CL275,$CL$111:$CL$300)),""),""),"")</f>
      </c>
      <c s="75">
        <f>IF(ISERROR(VLOOKUP(CV275,$AL$8:$AL$15,1,FALSE))=TRUE,IF(AND(ISERROR(FIND("NeighMkt",$CX$102))=FALSE,LEFT($CW$111,10)="ALL OUTLET",$CA275&lt;&gt;"",DJ275&lt;&gt;""),"",IF(AND($CV275&lt;&gt;$CW275,$CW275=CN$110),$DJ275,"")),"")</f>
      </c>
      <c s="76">
        <f>IF(ISERROR(VLOOKUP(CV275,$AL$8:$AL$15,1,FALSE))=TRUE,IF(CN275&lt;&gt;"",IF(CN275&gt;0,RANK(CN275,$CN$111:$CN$300),""),""),"")</f>
      </c>
      <c s="75">
        <f>IF(ISERROR(VLOOKUP(CV275,$AL$8:$AL$15,1,FALSE))=TRUE,IF(AND(ISERROR(FIND("NeighMkt",$CX$102))=FALSE,LEFT($CW$111,10)="ALL OUTLET",$CA275&lt;&gt;"",DJ275&lt;&gt;""),"",IF(AND($CV275&lt;&gt;$CW275,$CW275=CP$110),$DJ275,"")),"")</f>
      </c>
      <c s="76">
        <f>IF(ISERROR(VLOOKUP(CV275,$AL$8:$AL$15,1,FALSE))=TRUE,IF(CP275&lt;&gt;"",IF(CP275&gt;0,RANK(CP275,$CP$111:$CP$300),""),""),"")</f>
      </c>
      <c s="75">
        <f>IF(ISERROR(VLOOKUP(CV275,$AL$8:$AL$15,1,FALSE))=TRUE,IF(AND(ISERROR(FIND("NeighMkt",$CX$102))=FALSE,LEFT($CW$111,10)="ALL OUTLET",$CA275&lt;&gt;"",DJ275&lt;&gt;""),"",IF(AND($CV275&lt;&gt;$CW275,$CW275=CR$110),$DJ275,"")),"")</f>
      </c>
      <c s="76">
        <f>IF(ISERROR(VLOOKUP(CV275,$AL$8:$AL$15,1,FALSE))=TRUE,IF(CR275&lt;&gt;"",IF(CR275&gt;0,RANK(CR275,$CR$111:$CR$300),""),""),"")</f>
      </c>
      <c s="75">
        <f>IF(ISERROR(VLOOKUP(CV275,$AL$8:$AL$15,1,FALSE))=TRUE,IF(AND(ISERROR(FIND("NeighMkt",$CX$102))=FALSE,LEFT($CW$111,10)="ALL OUTLET",$CA275&lt;&gt;"",DJ275&lt;&gt;""),"",IF($Z$4="",IF(AND($CV275&lt;&gt;$CW275,$CW275=CT$110),$DJ275,""),IF(AND($CV275&lt;&gt;$CW275,$CW275&lt;&gt;CN$110,$CW275&lt;&gt;CP$110,$CW275&lt;&gt;CR$110,$CW275&lt;&gt;$CV$111),$DJ275,""))),"")</f>
      </c>
      <c s="76">
        <f>IF(ISERROR(VLOOKUP(CV275,$AL$8:$AL$15,1,FALSE))=TRUE,IF(CT275&lt;&gt;"",IF(CT275&gt;0,RANK(CT275,$CT$111:$CT$300),""),""),"")</f>
      </c>
      <c s="65" t="str">
        <f t="shared" si="47"/>
        <v>Toys R Us</v>
      </c>
      <c s="65" t="str">
        <f t="shared" si="48"/>
        <v>Toy</v>
      </c>
      <c s="72" t="str">
        <f>IF('[1]Leakage Tree Data'!A174&lt;&gt;"",'[1]Leakage Tree Data'!A174,"")</f>
        <v>Total US - Toys R Us</v>
      </c>
      <c s="72" t="str">
        <f>IF('[1]Leakage Tree Data'!B174&lt;&gt;"",'[1]Leakage Tree Data'!B174,"")</f>
        <v>Total US - Toy</v>
      </c>
      <c s="72">
        <f>IF('[1]Leakage Tree Data'!C174&lt;&gt;"",'[1]Leakage Tree Data'!C174,"")</f>
        <v>121171760.292236</v>
      </c>
      <c s="72">
        <f>IF('[1]Leakage Tree Data'!D174&lt;&gt;"",'[1]Leakage Tree Data'!D174,"")</f>
        <v>10953941.8511963</v>
      </c>
      <c s="72">
        <f>IF('[1]Leakage Tree Data'!E174&lt;&gt;"",'[1]Leakage Tree Data'!E174,"")</f>
        <v>9.04001214868719</v>
      </c>
      <c s="72">
        <f>IF('[1]Leakage Tree Data'!F174&lt;&gt;"",'[1]Leakage Tree Data'!F174,"")</f>
        <v>110217818.44104</v>
      </c>
      <c s="72">
        <f>IF('[1]Leakage Tree Data'!G174&lt;&gt;"",'[1]Leakage Tree Data'!G174,"")</f>
        <v>90.9599878513128</v>
      </c>
      <c s="72">
        <f>IF('[1]Leakage Tree Data'!H174&lt;&gt;"",'[1]Leakage Tree Data'!H174,"")</f>
        <v>61518209.9918823</v>
      </c>
      <c s="72" t="str">
        <f>IF('[1]Leakage Tree Data'!I174&lt;&gt;"",'[1]Leakage Tree Data'!I174,"")</f>
        <v>Toy</v>
      </c>
      <c s="72">
        <f>IF('[1]Leakage Tree Data'!J174&lt;&gt;"",'[1]Leakage Tree Data'!J174,"")</f>
      </c>
      <c s="72">
        <f>IF('[1]Leakage Tree Data'!K174&lt;&gt;"",'[1]Leakage Tree Data'!K174,"")</f>
      </c>
      <c s="72">
        <f>IF('[1]Leakage Tree Data'!L174&lt;&gt;"",'[1]Leakage Tree Data'!L174,"")</f>
      </c>
      <c s="72">
        <f>IF('[1]Leakage Tree Data'!M174&lt;&gt;"",'[1]Leakage Tree Data'!M174,"")</f>
      </c>
      <c s="72">
        <f>IF('[1]Leakage Tree Data'!N174&lt;&gt;"",'[1]Leakage Tree Data'!N174,"")</f>
      </c>
      <c s="72">
        <f>IF('[1]Leakage Tree Data'!O174&lt;&gt;"",'[1]Leakage Tree Data'!O174,"")</f>
      </c>
      <c s="72">
        <f>IF('[1]Leakage Tree Data'!P174&lt;&gt;"",'[1]Leakage Tree Data'!P174,"")</f>
      </c>
      <c s="72">
        <f>IF('[1]Leakage Tree Data'!Q174&lt;&gt;"",'[1]Leakage Tree Data'!Q174,"")</f>
      </c>
      <c s="72">
        <f>IF('[1]Leakage Tree Data'!R174&lt;&gt;"",'[1]Leakage Tree Data'!R174,"")</f>
        <v>1017625.85098267</v>
      </c>
      <c s="72">
        <f>IF('[1]Leakage Tree Data'!S174&lt;&gt;"",'[1]Leakage Tree Data'!S174,"")</f>
        <v>-1779531.29528809</v>
      </c>
      <c s="72">
        <f>IF('[1]Leakage Tree Data'!T174&lt;&gt;"",'[1]Leakage Tree Data'!T174,"")</f>
        <v>-1.55760332721646</v>
      </c>
      <c s="72">
        <f>IF('[1]Leakage Tree Data'!U174&lt;&gt;"",'[1]Leakage Tree Data'!U174,"")</f>
        <v>2797157.14627075</v>
      </c>
      <c s="72">
        <f>IF('[1]Leakage Tree Data'!V174&lt;&gt;"",'[1]Leakage Tree Data'!V174,"")</f>
        <v>1.55760332721646</v>
      </c>
      <c s="72">
        <f>IF('[1]Leakage Tree Data'!W174&lt;&gt;"",'[1]Leakage Tree Data'!W174,"")</f>
        <v>-1855949.2237854</v>
      </c>
      <c s="72">
        <f>IF('[1]Leakage Tree Data'!X174&lt;&gt;"",'[1]Leakage Tree Data'!X174,"")</f>
      </c>
      <c s="72">
        <f>IF('[1]Leakage Tree Data'!Y174&lt;&gt;"",'[1]Leakage Tree Data'!Y174,"")</f>
      </c>
      <c s="72">
        <f>IF('[1]Leakage Tree Data'!Z174&lt;&gt;"",'[1]Leakage Tree Data'!Z174,"")</f>
      </c>
      <c s="72">
        <f>IF('[1]Leakage Tree Data'!AA174&lt;&gt;"",'[1]Leakage Tree Data'!AA174,"")</f>
      </c>
      <c s="72">
        <f>IF('[1]Leakage Tree Data'!AB174&lt;&gt;"",'[1]Leakage Tree Data'!AB174,"")</f>
      </c>
      <c s="72">
        <f>IF('[1]Leakage Tree Data'!AC174&lt;&gt;"",'[1]Leakage Tree Data'!AC174,"")</f>
      </c>
      <c s="72">
        <f>IF('[1]Leakage Tree Data'!AD174&lt;&gt;"",'[1]Leakage Tree Data'!AD174,"")</f>
      </c>
      <c s="72">
        <f>IF('[1]Leakage Tree Data'!AE174&lt;&gt;"",'[1]Leakage Tree Data'!AE174,"")</f>
      </c>
      <c s="73">
        <f t="shared" si="49"/>
      </c>
      <c s="73">
        <f t="shared" si="50"/>
      </c>
      <c s="73">
        <f t="shared" si="51"/>
      </c>
      <c s="73">
        <f t="shared" si="52"/>
      </c>
      <c s="74">
        <f t="shared" si="53"/>
      </c>
      <c s="74">
        <f t="shared" si="54"/>
      </c>
      <c s="69" t="str">
        <f t="shared" si="55"/>
        <v>Total US - Toys R Us</v>
      </c>
      <c s="69" t="str">
        <f t="shared" si="56"/>
        <v>Total US - Toy</v>
      </c>
    </row>
    <row r="276" spans="1:140" ht="15">
      <c r="A276"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t="str">
        <f t="shared" si="46"/>
        <v>Walmart Total</v>
      </c>
      <c s="75">
        <f>IF(ISERROR(VLOOKUP(CV276,$AL$8:$AL$15,1,FALSE))=TRUE,IF(AND(CV276=CW276,CV276&lt;&gt;"",DI$111&lt;&gt;"",DK276&lt;&gt;""),IF(CW$101="Y",DK276-IF(ISERROR(VLOOKUP(CV276,$CA$113:$DK$300,37,FALSE))=TRUE,0,IF(VLOOKUP(CV276,$CA$113:$DK$300,37,FALSE)="",0,VLOOKUP(CV276,$CA$113:$DK$300,37,FALSE))),DK276-IF(AND(CW$102="Y",CV276=$CW$111),DI$111,0)),""),"")</f>
        <v>120745820.055689</v>
      </c>
      <c s="76">
        <f>IF(ISERROR(VLOOKUP(CV276,$AL$8:$AL$15,1,FALSE))=TRUE,IF(CB276&lt;&gt;"",IF(CB276&gt;0,IF(Z$4&lt;&gt;"",MIN(4,RANK(CB276,$CB$111:$CB$300)),RANK(CB276,$CB$111:$CB$300)),""),""),"")</f>
        <v>3</v>
      </c>
      <c s="75">
        <f>IF(ISERROR(VLOOKUP(CV276,$AL$8:$AL$15,1,FALSE))=TRUE,IF(AND(ISERROR(FIND("NeighMkt",$CX$102))=FALSE,LEFT($CW$111,10)="ALL OUTLET",$CA276&lt;&gt;"",DK276&lt;&gt;""),"",IF(AND($CV276&lt;&gt;$CW276,$CW276=CD$110),$DK276,"")),"")</f>
      </c>
      <c s="76">
        <f>IF(ISERROR(VLOOKUP(CV276,$AL$8:$AL$15,1,FALSE))=TRUE,IF(CD276&lt;&gt;"",IF(CD276&gt;0,RANK(CD276,$CD$111:$CD$300),""),""),"")</f>
      </c>
      <c s="75">
        <f>IF(ISERROR(VLOOKUP(CV276,$AL$8:$AL$15,1,FALSE))=TRUE,IF(AND(ISERROR(FIND("NeighMkt",$CX$102))=FALSE,LEFT($CW$111,10)="ALL OUTLET",$CA276&lt;&gt;"",DK276&lt;&gt;""),"",IF(AND($CV276&lt;&gt;$CW276,$CW276=CF$110),$DK276,"")),"")</f>
      </c>
      <c s="76">
        <f>IF(ISERROR(VLOOKUP(CV276,$AL$8:$AL$15,1,FALSE))=TRUE,IF(CF276&lt;&gt;"",IF(CF276&gt;0,RANK(CF276,$CF$111:$CF$300),""),""),"")</f>
      </c>
      <c s="75">
        <f>IF(ISERROR(VLOOKUP(CV276,$AL$8:$AL$15,1,FALSE))=TRUE,IF(AND(ISERROR(FIND("NeighMkt",$CX$102))=FALSE,LEFT($CW$111,10)="ALL OUTLET",$CA276&lt;&gt;"",DK276&lt;&gt;""),"",IF(AND($CV276&lt;&gt;$CW276,$CW276=CH$110),$DK276,"")),"")</f>
      </c>
      <c s="76">
        <f>IF(ISERROR(VLOOKUP(CV276,$AL$8:$AL$15,1,FALSE))=TRUE,IF(CH276&lt;&gt;"",IF(CH276&gt;0,RANK(CH276,$CH$111:$CH$300),""),""),"")</f>
      </c>
      <c s="75">
        <f>IF(ISERROR(VLOOKUP(CV276,$AL$8:$AL$15,1,FALSE))=TRUE,IF(AND(ISERROR(FIND("NeighMkt",$CX$102))=FALSE,LEFT($CW$111,10)="ALL OUTLET",$CA276&lt;&gt;"",DK276&lt;&gt;""),"",IF($Z$4="",IF(AND($CV276&lt;&gt;$CW276,$CW276=CJ$110),$DK276,""),IF(AND($CV276&lt;&gt;$CW276,$CW276&lt;&gt;CD$110,$CW276&lt;&gt;CF$110,$CW276&lt;&gt;CH$110,$CW276&lt;&gt;$CV$111),$DK276,""))),"")</f>
      </c>
      <c s="76">
        <f>IF(ISERROR(VLOOKUP(CV276,$AL$8:$AL$15,1,FALSE))=TRUE,IF(CJ276&lt;&gt;"",IF(CJ276&gt;0,RANK(CJ276,$CJ$111:$CJ$300),""),""),"")</f>
      </c>
      <c s="75">
        <f>IF(ISERROR(VLOOKUP(CV276,$AL$8:$AL$15,1,FALSE))=TRUE,IF(AND(CV276=CW276,CV276&lt;&gt;"",DJ276&lt;&gt;""),IF(AND(ISERROR(FIND("NeighMkt",$CX$102))=FALSE,LEFT($CW$111,10)="ALL OUTLET"),DJ276-IF(ISERROR(VLOOKUP(CV276,$CA$113:$DK$300,36,FALSE))=TRUE,0,IF(VLOOKUP(CV276,$CA$113:$DK$300,36,FALSE)="",0,VLOOKUP(CV276,$CA$113:$DK$300,36,FALSE))),DJ276),""),"")</f>
        <v>425036078.986669</v>
      </c>
      <c s="76">
        <f>IF(ISERROR(VLOOKUP(CV276,$AL$8:$AL$15,1,FALSE))=TRUE,IF(CL276&lt;&gt;"",IF(CL276&gt;0,IF($Z$4&lt;&gt;"",MIN(4,RANK(CL276,$CL$111:$CL$300)),RANK(CL276,$CL$111:$CL$300)),""),""),"")</f>
        <v>3</v>
      </c>
      <c s="75">
        <f>IF(ISERROR(VLOOKUP(CV276,$AL$8:$AL$15,1,FALSE))=TRUE,IF(AND(ISERROR(FIND("NeighMkt",$CX$102))=FALSE,LEFT($CW$111,10)="ALL OUTLET",$CA276&lt;&gt;"",DJ276&lt;&gt;""),"",IF(AND($CV276&lt;&gt;$CW276,$CW276=CN$110),$DJ276,"")),"")</f>
      </c>
      <c s="76">
        <f>IF(ISERROR(VLOOKUP(CV276,$AL$8:$AL$15,1,FALSE))=TRUE,IF(CN276&lt;&gt;"",IF(CN276&gt;0,RANK(CN276,$CN$111:$CN$300),""),""),"")</f>
      </c>
      <c s="75">
        <f>IF(ISERROR(VLOOKUP(CV276,$AL$8:$AL$15,1,FALSE))=TRUE,IF(AND(ISERROR(FIND("NeighMkt",$CX$102))=FALSE,LEFT($CW$111,10)="ALL OUTLET",$CA276&lt;&gt;"",DJ276&lt;&gt;""),"",IF(AND($CV276&lt;&gt;$CW276,$CW276=CP$110),$DJ276,"")),"")</f>
      </c>
      <c s="76">
        <f>IF(ISERROR(VLOOKUP(CV276,$AL$8:$AL$15,1,FALSE))=TRUE,IF(CP276&lt;&gt;"",IF(CP276&gt;0,RANK(CP276,$CP$111:$CP$300),""),""),"")</f>
      </c>
      <c s="75">
        <f>IF(ISERROR(VLOOKUP(CV276,$AL$8:$AL$15,1,FALSE))=TRUE,IF(AND(ISERROR(FIND("NeighMkt",$CX$102))=FALSE,LEFT($CW$111,10)="ALL OUTLET",$CA276&lt;&gt;"",DJ276&lt;&gt;""),"",IF(AND($CV276&lt;&gt;$CW276,$CW276=CR$110),$DJ276,"")),"")</f>
      </c>
      <c s="76">
        <f>IF(ISERROR(VLOOKUP(CV276,$AL$8:$AL$15,1,FALSE))=TRUE,IF(CR276&lt;&gt;"",IF(CR276&gt;0,RANK(CR276,$CR$111:$CR$300),""),""),"")</f>
      </c>
      <c s="75">
        <f>IF(ISERROR(VLOOKUP(CV276,$AL$8:$AL$15,1,FALSE))=TRUE,IF(AND(ISERROR(FIND("NeighMkt",$CX$102))=FALSE,LEFT($CW$111,10)="ALL OUTLET",$CA276&lt;&gt;"",DJ276&lt;&gt;""),"",IF($Z$4="",IF(AND($CV276&lt;&gt;$CW276,$CW276=CT$110),$DJ276,""),IF(AND($CV276&lt;&gt;$CW276,$CW276&lt;&gt;CN$110,$CW276&lt;&gt;CP$110,$CW276&lt;&gt;CR$110,$CW276&lt;&gt;$CV$111),$DJ276,""))),"")</f>
      </c>
      <c s="76">
        <f>IF(ISERROR(VLOOKUP(CV276,$AL$8:$AL$15,1,FALSE))=TRUE,IF(CT276&lt;&gt;"",IF(CT276&gt;0,RANK(CT276,$CT$111:$CT$300),""),""),"")</f>
      </c>
      <c s="65" t="str">
        <f t="shared" si="47"/>
        <v>Walmart Total</v>
      </c>
      <c s="65" t="str">
        <f t="shared" si="48"/>
        <v>Walmart Total</v>
      </c>
      <c s="72" t="str">
        <f>IF('[1]Leakage Tree Data'!A175&lt;&gt;"",'[1]Leakage Tree Data'!A175,"")</f>
        <v>Total US - Walmart Total</v>
      </c>
      <c s="72" t="str">
        <f>IF('[1]Leakage Tree Data'!B175&lt;&gt;"",'[1]Leakage Tree Data'!B175,"")</f>
        <v>Total US - Walmart Total</v>
      </c>
      <c s="72">
        <f>IF('[1]Leakage Tree Data'!C175&lt;&gt;"",'[1]Leakage Tree Data'!C175,"")</f>
        <v>121171760.292236</v>
      </c>
      <c s="72">
        <f>IF('[1]Leakage Tree Data'!D175&lt;&gt;"",'[1]Leakage Tree Data'!D175,"")</f>
        <v>100071163.895721</v>
      </c>
      <c s="72">
        <f>IF('[1]Leakage Tree Data'!E175&lt;&gt;"",'[1]Leakage Tree Data'!E175,"")</f>
        <v>82.5862095709219</v>
      </c>
      <c s="72">
        <f>IF('[1]Leakage Tree Data'!F175&lt;&gt;"",'[1]Leakage Tree Data'!F175,"")</f>
        <v>21100596.3965149</v>
      </c>
      <c s="72">
        <f>IF('[1]Leakage Tree Data'!G175&lt;&gt;"",'[1]Leakage Tree Data'!G175,"")</f>
        <v>17.4137904290781</v>
      </c>
      <c s="72">
        <f>IF('[1]Leakage Tree Data'!H175&lt;&gt;"",'[1]Leakage Tree Data'!H175,"")</f>
        <v>61518209.9918823</v>
      </c>
      <c s="72" t="str">
        <f>IF('[1]Leakage Tree Data'!I175&lt;&gt;"",'[1]Leakage Tree Data'!I175,"")</f>
        <v>Walmart Total</v>
      </c>
      <c s="72">
        <f>IF('[1]Leakage Tree Data'!J175&lt;&gt;"",'[1]Leakage Tree Data'!J175,"")</f>
        <v>57.1890528552124</v>
      </c>
      <c s="72">
        <f>IF('[1]Leakage Tree Data'!K175&lt;&gt;"",'[1]Leakage Tree Data'!K175,"")</f>
        <v>26336528.3640442</v>
      </c>
      <c s="72">
        <f>IF('[1]Leakage Tree Data'!L175&lt;&gt;"",'[1]Leakage Tree Data'!L175,"")</f>
        <v>120745820.055689</v>
      </c>
      <c s="72">
        <f>IF('[1]Leakage Tree Data'!M175&lt;&gt;"",'[1]Leakage Tree Data'!M175,"")</f>
        <v>425036078.986669</v>
      </c>
      <c s="72">
        <f>IF('[1]Leakage Tree Data'!N175&lt;&gt;"",'[1]Leakage Tree Data'!N175,"")</f>
        <v>120745820.055689</v>
      </c>
      <c s="72">
        <f>IF('[1]Leakage Tree Data'!O175&lt;&gt;"",'[1]Leakage Tree Data'!O175,"")</f>
        <v>54.6499843505786</v>
      </c>
      <c s="72">
        <f>IF('[1]Leakage Tree Data'!P175&lt;&gt;"",'[1]Leakage Tree Data'!P175,"")</f>
        <v>28720094.1393678</v>
      </c>
      <c s="72">
        <f>IF('[1]Leakage Tree Data'!Q175&lt;&gt;"",'[1]Leakage Tree Data'!Q175,"")</f>
      </c>
      <c s="72">
        <f>IF('[1]Leakage Tree Data'!R175&lt;&gt;"",'[1]Leakage Tree Data'!R175,"")</f>
        <v>1017625.85098267</v>
      </c>
      <c s="72">
        <f>IF('[1]Leakage Tree Data'!S175&lt;&gt;"",'[1]Leakage Tree Data'!S175,"")</f>
        <v>1310926.56665039</v>
      </c>
      <c s="72">
        <f>IF('[1]Leakage Tree Data'!T175&lt;&gt;"",'[1]Leakage Tree Data'!T175,"")</f>
        <v>0.391586981919474</v>
      </c>
      <c s="72">
        <f>IF('[1]Leakage Tree Data'!U175&lt;&gt;"",'[1]Leakage Tree Data'!U175,"")</f>
        <v>-293300.715667725</v>
      </c>
      <c s="72">
        <f>IF('[1]Leakage Tree Data'!V175&lt;&gt;"",'[1]Leakage Tree Data'!V175,"")</f>
        <v>-0.391586981919474</v>
      </c>
      <c s="72">
        <f>IF('[1]Leakage Tree Data'!W175&lt;&gt;"",'[1]Leakage Tree Data'!W175,"")</f>
        <v>-1855949.2237854</v>
      </c>
      <c s="72">
        <f>IF('[1]Leakage Tree Data'!X175&lt;&gt;"",'[1]Leakage Tree Data'!X175,"")</f>
      </c>
      <c s="72">
        <f>IF('[1]Leakage Tree Data'!Y175&lt;&gt;"",'[1]Leakage Tree Data'!Y175,"")</f>
        <v>-1.43434146186957</v>
      </c>
      <c s="72">
        <f>IF('[1]Leakage Tree Data'!Z175&lt;&gt;"",'[1]Leakage Tree Data'!Z175,"")</f>
        <v>114452.400512695</v>
      </c>
      <c s="72">
        <f>IF('[1]Leakage Tree Data'!AA175&lt;&gt;"",'[1]Leakage Tree Data'!AA175,"")</f>
        <v>-5716814.53856897</v>
      </c>
      <c s="72">
        <f>IF('[1]Leakage Tree Data'!AB175&lt;&gt;"",'[1]Leakage Tree Data'!AB175,"")</f>
        <v>7687823.66275263</v>
      </c>
      <c s="72">
        <f>IF('[1]Leakage Tree Data'!AC175&lt;&gt;"",'[1]Leakage Tree Data'!AC175,"")</f>
        <v>-5716814.53856897</v>
      </c>
      <c s="72">
        <f>IF('[1]Leakage Tree Data'!AD175&lt;&gt;"",'[1]Leakage Tree Data'!AD175,"")</f>
        <v>1.24734213518564</v>
      </c>
      <c s="72">
        <f>IF('[1]Leakage Tree Data'!AE175&lt;&gt;"",'[1]Leakage Tree Data'!AE175,"")</f>
      </c>
      <c s="73">
        <f t="shared" si="49"/>
        <v>425036078.986669</v>
      </c>
      <c s="73">
        <f t="shared" si="50"/>
        <v>120745820.055689</v>
      </c>
      <c s="73">
        <f t="shared" si="51"/>
        <v>7687823.66275263</v>
      </c>
      <c s="73">
        <f t="shared" si="52"/>
        <v>-5716814.53856897</v>
      </c>
      <c s="74">
        <f t="shared" si="53"/>
        <v>0.0149276373050316</v>
      </c>
      <c s="74">
        <f t="shared" si="54"/>
        <v>0.019533308940044</v>
      </c>
      <c s="69" t="str">
        <f t="shared" si="55"/>
        <v>Total US - Walmart Total</v>
      </c>
      <c s="69" t="str">
        <f t="shared" si="56"/>
        <v>Total US - Walmart Total</v>
      </c>
    </row>
    <row r="277" spans="1:140" ht="15">
      <c r="A277"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t="str">
        <f t="shared" si="46"/>
        <v>Walmart Total</v>
      </c>
      <c s="75">
        <f>IF(ISERROR(VLOOKUP(CV277,$AL$8:$AL$15,1,FALSE))=TRUE,IF(AND(CV277=CW277,CV277&lt;&gt;"",DI$111&lt;&gt;"",DK277&lt;&gt;""),IF(CW$101="Y",DK277-IF(ISERROR(VLOOKUP(CV277,$CA$113:$DK$300,37,FALSE))=TRUE,0,IF(VLOOKUP(CV277,$CA$113:$DK$300,37,FALSE)="",0,VLOOKUP(CV277,$CA$113:$DK$300,37,FALSE))),DK277-IF(AND(CW$102="Y",CV277=$CW$111),DI$111,0)),""),"")</f>
      </c>
      <c s="76">
        <f>IF(ISERROR(VLOOKUP(CV277,$AL$8:$AL$15,1,FALSE))=TRUE,IF(CB277&lt;&gt;"",IF(CB277&gt;0,IF(Z$4&lt;&gt;"",MIN(4,RANK(CB277,$CB$111:$CB$300)),RANK(CB277,$CB$111:$CB$300)),""),""),"")</f>
      </c>
      <c s="75">
        <f>IF(ISERROR(VLOOKUP(CV277,$AL$8:$AL$15,1,FALSE))=TRUE,IF(AND(ISERROR(FIND("NeighMkt",$CX$102))=FALSE,LEFT($CW$111,10)="ALL OUTLET",$CA277&lt;&gt;"",DK277&lt;&gt;""),"",IF(AND($CV277&lt;&gt;$CW277,$CW277=CD$110),$DK277,"")),"")</f>
      </c>
      <c s="76">
        <f>IF(ISERROR(VLOOKUP(CV277,$AL$8:$AL$15,1,FALSE))=TRUE,IF(CD277&lt;&gt;"",IF(CD277&gt;0,RANK(CD277,$CD$111:$CD$300),""),""),"")</f>
      </c>
      <c s="75">
        <f>IF(ISERROR(VLOOKUP(CV277,$AL$8:$AL$15,1,FALSE))=TRUE,IF(AND(ISERROR(FIND("NeighMkt",$CX$102))=FALSE,LEFT($CW$111,10)="ALL OUTLET",$CA277&lt;&gt;"",DK277&lt;&gt;""),"",IF(AND($CV277&lt;&gt;$CW277,$CW277=CF$110),$DK277,"")),"")</f>
      </c>
      <c s="76">
        <f>IF(ISERROR(VLOOKUP(CV277,$AL$8:$AL$15,1,FALSE))=TRUE,IF(CF277&lt;&gt;"",IF(CF277&gt;0,RANK(CF277,$CF$111:$CF$300),""),""),"")</f>
      </c>
      <c s="75">
        <f>IF(ISERROR(VLOOKUP(CV277,$AL$8:$AL$15,1,FALSE))=TRUE,IF(AND(ISERROR(FIND("NeighMkt",$CX$102))=FALSE,LEFT($CW$111,10)="ALL OUTLET",$CA277&lt;&gt;"",DK277&lt;&gt;""),"",IF(AND($CV277&lt;&gt;$CW277,$CW277=CH$110),$DK277,"")),"")</f>
        <v>19735113.3166199</v>
      </c>
      <c s="76">
        <f>IF(ISERROR(VLOOKUP(CV277,$AL$8:$AL$15,1,FALSE))=TRUE,IF(CH277&lt;&gt;"",IF(CH277&gt;0,RANK(CH277,$CH$111:$CH$300),""),""),"")</f>
        <v>2</v>
      </c>
      <c s="75">
        <f>IF(ISERROR(VLOOKUP(CV277,$AL$8:$AL$15,1,FALSE))=TRUE,IF(AND(ISERROR(FIND("NeighMkt",$CX$102))=FALSE,LEFT($CW$111,10)="ALL OUTLET",$CA277&lt;&gt;"",DK277&lt;&gt;""),"",IF($Z$4="",IF(AND($CV277&lt;&gt;$CW277,$CW277=CJ$110),$DK277,""),IF(AND($CV277&lt;&gt;$CW277,$CW277&lt;&gt;CD$110,$CW277&lt;&gt;CF$110,$CW277&lt;&gt;CH$110,$CW277&lt;&gt;$CV$111),$DK277,""))),"")</f>
      </c>
      <c s="76">
        <f>IF(ISERROR(VLOOKUP(CV277,$AL$8:$AL$15,1,FALSE))=TRUE,IF(CJ277&lt;&gt;"",IF(CJ277&gt;0,RANK(CJ277,$CJ$111:$CJ$300),""),""),"")</f>
      </c>
      <c s="75">
        <f>IF(ISERROR(VLOOKUP(CV277,$AL$8:$AL$15,1,FALSE))=TRUE,IF(AND(CV277=CW277,CV277&lt;&gt;"",DJ277&lt;&gt;""),IF(AND(ISERROR(FIND("NeighMkt",$CX$102))=FALSE,LEFT($CW$111,10)="ALL OUTLET"),DJ277-IF(ISERROR(VLOOKUP(CV277,$CA$113:$DK$300,36,FALSE))=TRUE,0,IF(VLOOKUP(CV277,$CA$113:$DK$300,36,FALSE)="",0,VLOOKUP(CV277,$CA$113:$DK$300,36,FALSE))),DJ277),""),"")</f>
      </c>
      <c s="76">
        <f>IF(ISERROR(VLOOKUP(CV277,$AL$8:$AL$15,1,FALSE))=TRUE,IF(CL277&lt;&gt;"",IF(CL277&gt;0,IF($Z$4&lt;&gt;"",MIN(4,RANK(CL277,$CL$111:$CL$300)),RANK(CL277,$CL$111:$CL$300)),""),""),"")</f>
      </c>
      <c s="75">
        <f>IF(ISERROR(VLOOKUP(CV277,$AL$8:$AL$15,1,FALSE))=TRUE,IF(AND(ISERROR(FIND("NeighMkt",$CX$102))=FALSE,LEFT($CW$111,10)="ALL OUTLET",$CA277&lt;&gt;"",DJ277&lt;&gt;""),"",IF(AND($CV277&lt;&gt;$CW277,$CW277=CN$110),$DJ277,"")),"")</f>
      </c>
      <c s="76">
        <f>IF(ISERROR(VLOOKUP(CV277,$AL$8:$AL$15,1,FALSE))=TRUE,IF(CN277&lt;&gt;"",IF(CN277&gt;0,RANK(CN277,$CN$111:$CN$300),""),""),"")</f>
      </c>
      <c s="75">
        <f>IF(ISERROR(VLOOKUP(CV277,$AL$8:$AL$15,1,FALSE))=TRUE,IF(AND(ISERROR(FIND("NeighMkt",$CX$102))=FALSE,LEFT($CW$111,10)="ALL OUTLET",$CA277&lt;&gt;"",DJ277&lt;&gt;""),"",IF(AND($CV277&lt;&gt;$CW277,$CW277=CP$110),$DJ277,"")),"")</f>
      </c>
      <c s="76">
        <f>IF(ISERROR(VLOOKUP(CV277,$AL$8:$AL$15,1,FALSE))=TRUE,IF(CP277&lt;&gt;"",IF(CP277&gt;0,RANK(CP277,$CP$111:$CP$300),""),""),"")</f>
      </c>
      <c s="75">
        <f>IF(ISERROR(VLOOKUP(CV277,$AL$8:$AL$15,1,FALSE))=TRUE,IF(AND(ISERROR(FIND("NeighMkt",$CX$102))=FALSE,LEFT($CW$111,10)="ALL OUTLET",$CA277&lt;&gt;"",DJ277&lt;&gt;""),"",IF(AND($CV277&lt;&gt;$CW277,$CW277=CR$110),$DJ277,"")),"")</f>
        <v>51416570.8754768</v>
      </c>
      <c s="76">
        <f>IF(ISERROR(VLOOKUP(CV277,$AL$8:$AL$15,1,FALSE))=TRUE,IF(CR277&lt;&gt;"",IF(CR277&gt;0,RANK(CR277,$CR$111:$CR$300),""),""),"")</f>
        <v>2</v>
      </c>
      <c s="75">
        <f>IF(ISERROR(VLOOKUP(CV277,$AL$8:$AL$15,1,FALSE))=TRUE,IF(AND(ISERROR(FIND("NeighMkt",$CX$102))=FALSE,LEFT($CW$111,10)="ALL OUTLET",$CA277&lt;&gt;"",DJ277&lt;&gt;""),"",IF($Z$4="",IF(AND($CV277&lt;&gt;$CW277,$CW277=CT$110),$DJ277,""),IF(AND($CV277&lt;&gt;$CW277,$CW277&lt;&gt;CN$110,$CW277&lt;&gt;CP$110,$CW277&lt;&gt;CR$110,$CW277&lt;&gt;$CV$111),$DJ277,""))),"")</f>
      </c>
      <c s="76">
        <f>IF(ISERROR(VLOOKUP(CV277,$AL$8:$AL$15,1,FALSE))=TRUE,IF(CT277&lt;&gt;"",IF(CT277&gt;0,RANK(CT277,$CT$111:$CT$300),""),""),"")</f>
      </c>
      <c s="65" t="str">
        <f t="shared" si="47"/>
        <v>Walmart Division 1</v>
      </c>
      <c s="65" t="str">
        <f t="shared" si="48"/>
        <v>Walmart Total</v>
      </c>
      <c s="72" t="str">
        <f>IF('[1]Leakage Tree Data'!A176&lt;&gt;"",'[1]Leakage Tree Data'!A176,"")</f>
        <v>Total US - Walmart Division 1</v>
      </c>
      <c s="72" t="str">
        <f>IF('[1]Leakage Tree Data'!B176&lt;&gt;"",'[1]Leakage Tree Data'!B176,"")</f>
        <v>Total US - Walmart Total</v>
      </c>
      <c s="72">
        <f>IF('[1]Leakage Tree Data'!C176&lt;&gt;"",'[1]Leakage Tree Data'!C176,"")</f>
        <v>121171760.292236</v>
      </c>
      <c s="72">
        <f>IF('[1]Leakage Tree Data'!D176&lt;&gt;"",'[1]Leakage Tree Data'!D176,"")</f>
        <v>28425390.4638367</v>
      </c>
      <c s="72">
        <f>IF('[1]Leakage Tree Data'!E176&lt;&gt;"",'[1]Leakage Tree Data'!E176,"")</f>
        <v>23.4587583734706</v>
      </c>
      <c s="72">
        <f>IF('[1]Leakage Tree Data'!F176&lt;&gt;"",'[1]Leakage Tree Data'!F176,"")</f>
        <v>92746369.8283997</v>
      </c>
      <c s="72">
        <f>IF('[1]Leakage Tree Data'!G176&lt;&gt;"",'[1]Leakage Tree Data'!G176,"")</f>
        <v>76.5412416265294</v>
      </c>
      <c s="72">
        <f>IF('[1]Leakage Tree Data'!H176&lt;&gt;"",'[1]Leakage Tree Data'!H176,"")</f>
        <v>61518209.9918823</v>
      </c>
      <c s="72" t="str">
        <f>IF('[1]Leakage Tree Data'!I176&lt;&gt;"",'[1]Leakage Tree Data'!I176,"")</f>
        <v>Walmart Total</v>
      </c>
      <c s="72">
        <f>IF('[1]Leakage Tree Data'!J176&lt;&gt;"",'[1]Leakage Tree Data'!J176,"")</f>
        <v>92.4489011973394</v>
      </c>
      <c s="72">
        <f>IF('[1]Leakage Tree Data'!K176&lt;&gt;"",'[1]Leakage Tree Data'!K176,"")</f>
        <v>4645300.81811523</v>
      </c>
      <c s="72">
        <f>IF('[1]Leakage Tree Data'!L176&lt;&gt;"",'[1]Leakage Tree Data'!L176,"")</f>
        <v>19735113.3166199</v>
      </c>
      <c s="72">
        <f>IF('[1]Leakage Tree Data'!M176&lt;&gt;"",'[1]Leakage Tree Data'!M176,"")</f>
        <v>51416570.8754768</v>
      </c>
      <c s="72">
        <f>IF('[1]Leakage Tree Data'!N176&lt;&gt;"",'[1]Leakage Tree Data'!N176,"")</f>
        <v>19735113.3166199</v>
      </c>
      <c s="72">
        <f>IF('[1]Leakage Tree Data'!O176&lt;&gt;"",'[1]Leakage Tree Data'!O176,"")</f>
        <v>28.4267318606563</v>
      </c>
      <c s="72">
        <f>IF('[1]Leakage Tree Data'!P176&lt;&gt;"",'[1]Leakage Tree Data'!P176,"")</f>
        <v>5428611.82395771</v>
      </c>
      <c s="72">
        <f>IF('[1]Leakage Tree Data'!Q176&lt;&gt;"",'[1]Leakage Tree Data'!Q176,"")</f>
      </c>
      <c s="72">
        <f>IF('[1]Leakage Tree Data'!R176&lt;&gt;"",'[1]Leakage Tree Data'!R176,"")</f>
        <v>1017625.85098267</v>
      </c>
      <c s="72">
        <f>IF('[1]Leakage Tree Data'!S176&lt;&gt;"",'[1]Leakage Tree Data'!S176,"")</f>
        <v>-37260.3232421875</v>
      </c>
      <c s="72">
        <f>IF('[1]Leakage Tree Data'!T176&lt;&gt;"",'[1]Leakage Tree Data'!T176,"")</f>
        <v>-0.229690567081665</v>
      </c>
      <c s="72">
        <f>IF('[1]Leakage Tree Data'!U176&lt;&gt;"",'[1]Leakage Tree Data'!U176,"")</f>
        <v>1054886.17422485</v>
      </c>
      <c s="72">
        <f>IF('[1]Leakage Tree Data'!V176&lt;&gt;"",'[1]Leakage Tree Data'!V176,"")</f>
        <v>0.229690567081661</v>
      </c>
      <c s="72">
        <f>IF('[1]Leakage Tree Data'!W176&lt;&gt;"",'[1]Leakage Tree Data'!W176,"")</f>
        <v>-1855949.2237854</v>
      </c>
      <c s="72">
        <f>IF('[1]Leakage Tree Data'!X176&lt;&gt;"",'[1]Leakage Tree Data'!X176,"")</f>
      </c>
      <c s="72">
        <f>IF('[1]Leakage Tree Data'!Y176&lt;&gt;"",'[1]Leakage Tree Data'!Y176,"")</f>
        <v>-0.256889134949489</v>
      </c>
      <c s="72">
        <f>IF('[1]Leakage Tree Data'!Z176&lt;&gt;"",'[1]Leakage Tree Data'!Z176,"")</f>
        <v>22656.7697753906</v>
      </c>
      <c s="72">
        <f>IF('[1]Leakage Tree Data'!AA176&lt;&gt;"",'[1]Leakage Tree Data'!AA176,"")</f>
        <v>-979161.015760422</v>
      </c>
      <c s="72">
        <f>IF('[1]Leakage Tree Data'!AB176&lt;&gt;"",'[1]Leakage Tree Data'!AB176,"")</f>
        <v>8174340.80982876</v>
      </c>
      <c s="72">
        <f>IF('[1]Leakage Tree Data'!AC176&lt;&gt;"",'[1]Leakage Tree Data'!AC176,"")</f>
        <v>-979161.015760422</v>
      </c>
      <c s="72">
        <f>IF('[1]Leakage Tree Data'!AD176&lt;&gt;"",'[1]Leakage Tree Data'!AD176,"")</f>
        <v>0.950592701690329</v>
      </c>
      <c s="72">
        <f>IF('[1]Leakage Tree Data'!AE176&lt;&gt;"",'[1]Leakage Tree Data'!AE176,"")</f>
      </c>
      <c s="73">
        <f t="shared" si="49"/>
      </c>
      <c s="73">
        <f t="shared" si="50"/>
      </c>
      <c s="73">
        <f t="shared" si="51"/>
      </c>
      <c s="73">
        <f t="shared" si="52"/>
      </c>
      <c s="74">
        <f t="shared" si="53"/>
      </c>
      <c s="74">
        <f t="shared" si="54"/>
      </c>
      <c s="69" t="str">
        <f t="shared" si="55"/>
        <v>Total US - Walmart Division 1</v>
      </c>
      <c s="69" t="str">
        <f t="shared" si="56"/>
        <v>Total US - Walmart Total</v>
      </c>
    </row>
    <row r="278" spans="1:140" ht="15">
      <c r="A278"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t="str">
        <f t="shared" si="46"/>
        <v>Walmart Total</v>
      </c>
      <c s="75">
        <f>IF(ISERROR(VLOOKUP(CV278,$AL$8:$AL$15,1,FALSE))=TRUE,IF(AND(CV278=CW278,CV278&lt;&gt;"",DI$111&lt;&gt;"",DK278&lt;&gt;""),IF(CW$101="Y",DK278-IF(ISERROR(VLOOKUP(CV278,$CA$113:$DK$300,37,FALSE))=TRUE,0,IF(VLOOKUP(CV278,$CA$113:$DK$300,37,FALSE)="",0,VLOOKUP(CV278,$CA$113:$DK$300,37,FALSE))),DK278-IF(AND(CW$102="Y",CV278=$CW$111),DI$111,0)),""),"")</f>
      </c>
      <c s="76">
        <f>IF(ISERROR(VLOOKUP(CV278,$AL$8:$AL$15,1,FALSE))=TRUE,IF(CB278&lt;&gt;"",IF(CB278&gt;0,IF(Z$4&lt;&gt;"",MIN(4,RANK(CB278,$CB$111:$CB$300)),RANK(CB278,$CB$111:$CB$300)),""),""),"")</f>
      </c>
      <c s="75">
        <f>IF(ISERROR(VLOOKUP(CV278,$AL$8:$AL$15,1,FALSE))=TRUE,IF(AND(ISERROR(FIND("NeighMkt",$CX$102))=FALSE,LEFT($CW$111,10)="ALL OUTLET",$CA278&lt;&gt;"",DK278&lt;&gt;""),"",IF(AND($CV278&lt;&gt;$CW278,$CW278=CD$110),$DK278,"")),"")</f>
      </c>
      <c s="76">
        <f>IF(ISERROR(VLOOKUP(CV278,$AL$8:$AL$15,1,FALSE))=TRUE,IF(CD278&lt;&gt;"",IF(CD278&gt;0,RANK(CD278,$CD$111:$CD$300),""),""),"")</f>
      </c>
      <c s="75">
        <f>IF(ISERROR(VLOOKUP(CV278,$AL$8:$AL$15,1,FALSE))=TRUE,IF(AND(ISERROR(FIND("NeighMkt",$CX$102))=FALSE,LEFT($CW$111,10)="ALL OUTLET",$CA278&lt;&gt;"",DK278&lt;&gt;""),"",IF(AND($CV278&lt;&gt;$CW278,$CW278=CF$110),$DK278,"")),"")</f>
      </c>
      <c s="76">
        <f>IF(ISERROR(VLOOKUP(CV278,$AL$8:$AL$15,1,FALSE))=TRUE,IF(CF278&lt;&gt;"",IF(CF278&gt;0,RANK(CF278,$CF$111:$CF$300),""),""),"")</f>
      </c>
      <c s="75">
        <f>IF(ISERROR(VLOOKUP(CV278,$AL$8:$AL$15,1,FALSE))=TRUE,IF(AND(ISERROR(FIND("NeighMkt",$CX$102))=FALSE,LEFT($CW$111,10)="ALL OUTLET",$CA278&lt;&gt;"",DK278&lt;&gt;""),"",IF(AND($CV278&lt;&gt;$CW278,$CW278=CH$110),$DK278,"")),"")</f>
        <v>6327212.34944916</v>
      </c>
      <c s="76">
        <f>IF(ISERROR(VLOOKUP(CV278,$AL$8:$AL$15,1,FALSE))=TRUE,IF(CH278&lt;&gt;"",IF(CH278&gt;0,RANK(CH278,$CH$111:$CH$300),""),""),"")</f>
        <v>3</v>
      </c>
      <c s="75">
        <f>IF(ISERROR(VLOOKUP(CV278,$AL$8:$AL$15,1,FALSE))=TRUE,IF(AND(ISERROR(FIND("NeighMkt",$CX$102))=FALSE,LEFT($CW$111,10)="ALL OUTLET",$CA278&lt;&gt;"",DK278&lt;&gt;""),"",IF($Z$4="",IF(AND($CV278&lt;&gt;$CW278,$CW278=CJ$110),$DK278,""),IF(AND($CV278&lt;&gt;$CW278,$CW278&lt;&gt;CD$110,$CW278&lt;&gt;CF$110,$CW278&lt;&gt;CH$110,$CW278&lt;&gt;$CV$111),$DK278,""))),"")</f>
      </c>
      <c s="76">
        <f>IF(ISERROR(VLOOKUP(CV278,$AL$8:$AL$15,1,FALSE))=TRUE,IF(CJ278&lt;&gt;"",IF(CJ278&gt;0,RANK(CJ278,$CJ$111:$CJ$300),""),""),"")</f>
      </c>
      <c s="75">
        <f>IF(ISERROR(VLOOKUP(CV278,$AL$8:$AL$15,1,FALSE))=TRUE,IF(AND(CV278=CW278,CV278&lt;&gt;"",DJ278&lt;&gt;""),IF(AND(ISERROR(FIND("NeighMkt",$CX$102))=FALSE,LEFT($CW$111,10)="ALL OUTLET"),DJ278-IF(ISERROR(VLOOKUP(CV278,$CA$113:$DK$300,36,FALSE))=TRUE,0,IF(VLOOKUP(CV278,$CA$113:$DK$300,36,FALSE)="",0,VLOOKUP(CV278,$CA$113:$DK$300,36,FALSE))),DJ278),""),"")</f>
      </c>
      <c s="76">
        <f>IF(ISERROR(VLOOKUP(CV278,$AL$8:$AL$15,1,FALSE))=TRUE,IF(CL278&lt;&gt;"",IF(CL278&gt;0,IF($Z$4&lt;&gt;"",MIN(4,RANK(CL278,$CL$111:$CL$300)),RANK(CL278,$CL$111:$CL$300)),""),""),"")</f>
      </c>
      <c s="75">
        <f>IF(ISERROR(VLOOKUP(CV278,$AL$8:$AL$15,1,FALSE))=TRUE,IF(AND(ISERROR(FIND("NeighMkt",$CX$102))=FALSE,LEFT($CW$111,10)="ALL OUTLET",$CA278&lt;&gt;"",DJ278&lt;&gt;""),"",IF(AND($CV278&lt;&gt;$CW278,$CW278=CN$110),$DJ278,"")),"")</f>
      </c>
      <c s="76">
        <f>IF(ISERROR(VLOOKUP(CV278,$AL$8:$AL$15,1,FALSE))=TRUE,IF(CN278&lt;&gt;"",IF(CN278&gt;0,RANK(CN278,$CN$111:$CN$300),""),""),"")</f>
      </c>
      <c s="75">
        <f>IF(ISERROR(VLOOKUP(CV278,$AL$8:$AL$15,1,FALSE))=TRUE,IF(AND(ISERROR(FIND("NeighMkt",$CX$102))=FALSE,LEFT($CW$111,10)="ALL OUTLET",$CA278&lt;&gt;"",DJ278&lt;&gt;""),"",IF(AND($CV278&lt;&gt;$CW278,$CW278=CP$110),$DJ278,"")),"")</f>
      </c>
      <c s="76">
        <f>IF(ISERROR(VLOOKUP(CV278,$AL$8:$AL$15,1,FALSE))=TRUE,IF(CP278&lt;&gt;"",IF(CP278&gt;0,RANK(CP278,$CP$111:$CP$300),""),""),"")</f>
      </c>
      <c s="75">
        <f>IF(ISERROR(VLOOKUP(CV278,$AL$8:$AL$15,1,FALSE))=TRUE,IF(AND(ISERROR(FIND("NeighMkt",$CX$102))=FALSE,LEFT($CW$111,10)="ALL OUTLET",$CA278&lt;&gt;"",DJ278&lt;&gt;""),"",IF(AND($CV278&lt;&gt;$CW278,$CW278=CR$110),$DJ278,"")),"")</f>
        <v>20337453.6973143</v>
      </c>
      <c s="76">
        <f>IF(ISERROR(VLOOKUP(CV278,$AL$8:$AL$15,1,FALSE))=TRUE,IF(CR278&lt;&gt;"",IF(CR278&gt;0,RANK(CR278,$CR$111:$CR$300),""),""),"")</f>
        <v>3</v>
      </c>
      <c s="75">
        <f>IF(ISERROR(VLOOKUP(CV278,$AL$8:$AL$15,1,FALSE))=TRUE,IF(AND(ISERROR(FIND("NeighMkt",$CX$102))=FALSE,LEFT($CW$111,10)="ALL OUTLET",$CA278&lt;&gt;"",DJ278&lt;&gt;""),"",IF($Z$4="",IF(AND($CV278&lt;&gt;$CW278,$CW278=CT$110),$DJ278,""),IF(AND($CV278&lt;&gt;$CW278,$CW278&lt;&gt;CN$110,$CW278&lt;&gt;CP$110,$CW278&lt;&gt;CR$110,$CW278&lt;&gt;$CV$111),$DJ278,""))),"")</f>
      </c>
      <c s="76">
        <f>IF(ISERROR(VLOOKUP(CV278,$AL$8:$AL$15,1,FALSE))=TRUE,IF(CT278&lt;&gt;"",IF(CT278&gt;0,RANK(CT278,$CT$111:$CT$300),""),""),"")</f>
      </c>
      <c s="65" t="str">
        <f t="shared" si="47"/>
        <v>Walmart Neighborhood Market</v>
      </c>
      <c s="65" t="str">
        <f t="shared" si="48"/>
        <v>Walmart Total</v>
      </c>
      <c s="72" t="str">
        <f>IF('[1]Leakage Tree Data'!A177&lt;&gt;"",'[1]Leakage Tree Data'!A177,"")</f>
        <v>Total US - Walmart Neighborhood Market</v>
      </c>
      <c s="72" t="str">
        <f>IF('[1]Leakage Tree Data'!B177&lt;&gt;"",'[1]Leakage Tree Data'!B177,"")</f>
        <v>Total US - Walmart Total</v>
      </c>
      <c s="72">
        <f>IF('[1]Leakage Tree Data'!C177&lt;&gt;"",'[1]Leakage Tree Data'!C177,"")</f>
        <v>121171760.292236</v>
      </c>
      <c s="72">
        <f>IF('[1]Leakage Tree Data'!D177&lt;&gt;"",'[1]Leakage Tree Data'!D177,"")</f>
        <v>13339301.6846008</v>
      </c>
      <c s="72">
        <f>IF('[1]Leakage Tree Data'!E177&lt;&gt;"",'[1]Leakage Tree Data'!E177,"")</f>
        <v>11.0085895033874</v>
      </c>
      <c s="72">
        <f>IF('[1]Leakage Tree Data'!F177&lt;&gt;"",'[1]Leakage Tree Data'!F177,"")</f>
        <v>107832458.607636</v>
      </c>
      <c s="72">
        <f>IF('[1]Leakage Tree Data'!G177&lt;&gt;"",'[1]Leakage Tree Data'!G177,"")</f>
        <v>88.9914104966126</v>
      </c>
      <c s="72">
        <f>IF('[1]Leakage Tree Data'!H177&lt;&gt;"",'[1]Leakage Tree Data'!H177,"")</f>
        <v>61518209.9918823</v>
      </c>
      <c s="72" t="str">
        <f>IF('[1]Leakage Tree Data'!I177&lt;&gt;"",'[1]Leakage Tree Data'!I177,"")</f>
        <v>Walmart Total</v>
      </c>
      <c s="72">
        <f>IF('[1]Leakage Tree Data'!J177&lt;&gt;"",'[1]Leakage Tree Data'!J177,"")</f>
        <v>96.7256429846532</v>
      </c>
      <c s="72">
        <f>IF('[1]Leakage Tree Data'!K177&lt;&gt;"",'[1]Leakage Tree Data'!K177,"")</f>
        <v>2014325.82458496</v>
      </c>
      <c s="72">
        <f>IF('[1]Leakage Tree Data'!L177&lt;&gt;"",'[1]Leakage Tree Data'!L177,"")</f>
        <v>6327212.34944916</v>
      </c>
      <c s="72">
        <f>IF('[1]Leakage Tree Data'!M177&lt;&gt;"",'[1]Leakage Tree Data'!M177,"")</f>
        <v>20337453.6973143</v>
      </c>
      <c s="72">
        <f>IF('[1]Leakage Tree Data'!N177&lt;&gt;"",'[1]Leakage Tree Data'!N177,"")</f>
        <v>6327212.34944916</v>
      </c>
      <c s="72">
        <f>IF('[1]Leakage Tree Data'!O177&lt;&gt;"",'[1]Leakage Tree Data'!O177,"")</f>
        <v>26.4857322675217</v>
      </c>
      <c s="72">
        <f>IF('[1]Leakage Tree Data'!P177&lt;&gt;"",'[1]Leakage Tree Data'!P177,"")</f>
        <v>2474619.57402083</v>
      </c>
      <c s="72">
        <f>IF('[1]Leakage Tree Data'!Q177&lt;&gt;"",'[1]Leakage Tree Data'!Q177,"")</f>
      </c>
      <c s="72">
        <f>IF('[1]Leakage Tree Data'!R177&lt;&gt;"",'[1]Leakage Tree Data'!R177,"")</f>
        <v>1017625.85098267</v>
      </c>
      <c s="72">
        <f>IF('[1]Leakage Tree Data'!S177&lt;&gt;"",'[1]Leakage Tree Data'!S177,"")</f>
        <v>2749527.63162231</v>
      </c>
      <c s="72">
        <f>IF('[1]Leakage Tree Data'!T177&lt;&gt;"",'[1]Leakage Tree Data'!T177,"")</f>
        <v>2.19509831373869</v>
      </c>
      <c s="72">
        <f>IF('[1]Leakage Tree Data'!U177&lt;&gt;"",'[1]Leakage Tree Data'!U177,"")</f>
        <v>-1731901.78063965</v>
      </c>
      <c s="72">
        <f>IF('[1]Leakage Tree Data'!V177&lt;&gt;"",'[1]Leakage Tree Data'!V177,"")</f>
        <v>-2.1950983137387</v>
      </c>
      <c s="72">
        <f>IF('[1]Leakage Tree Data'!W177&lt;&gt;"",'[1]Leakage Tree Data'!W177,"")</f>
        <v>-1855949.2237854</v>
      </c>
      <c s="72">
        <f>IF('[1]Leakage Tree Data'!X177&lt;&gt;"",'[1]Leakage Tree Data'!X177,"")</f>
      </c>
      <c s="72">
        <f>IF('[1]Leakage Tree Data'!Y177&lt;&gt;"",'[1]Leakage Tree Data'!Y177,"")</f>
        <v>-0.866377816029853</v>
      </c>
      <c s="72">
        <f>IF('[1]Leakage Tree Data'!Z177&lt;&gt;"",'[1]Leakage Tree Data'!Z177,"")</f>
        <v>488289.252929688</v>
      </c>
      <c s="72">
        <f>IF('[1]Leakage Tree Data'!AA177&lt;&gt;"",'[1]Leakage Tree Data'!AA177,"")</f>
        <v>1098239.21279144</v>
      </c>
      <c s="72">
        <f>IF('[1]Leakage Tree Data'!AB177&lt;&gt;"",'[1]Leakage Tree Data'!AB177,"")</f>
        <v>3905044.65318394</v>
      </c>
      <c s="72">
        <f>IF('[1]Leakage Tree Data'!AC177&lt;&gt;"",'[1]Leakage Tree Data'!AC177,"")</f>
        <v>1098239.21279144</v>
      </c>
      <c s="72">
        <f>IF('[1]Leakage Tree Data'!AD177&lt;&gt;"",'[1]Leakage Tree Data'!AD177,"")</f>
        <v>2.65716881178699</v>
      </c>
      <c s="72">
        <f>IF('[1]Leakage Tree Data'!AE177&lt;&gt;"",'[1]Leakage Tree Data'!AE177,"")</f>
      </c>
      <c s="73">
        <f t="shared" si="49"/>
      </c>
      <c s="73">
        <f t="shared" si="50"/>
      </c>
      <c s="73">
        <f t="shared" si="51"/>
      </c>
      <c s="73">
        <f t="shared" si="52"/>
      </c>
      <c s="74">
        <f t="shared" si="53"/>
      </c>
      <c s="74">
        <f t="shared" si="54"/>
      </c>
      <c s="69" t="str">
        <f t="shared" si="55"/>
        <v>Total US - Walmart Neighborhood Market</v>
      </c>
      <c s="69" t="str">
        <f t="shared" si="56"/>
        <v>Total US - Walmart Total</v>
      </c>
    </row>
    <row r="279" spans="1:140" ht="15">
      <c r="A279"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t="str">
        <f t="shared" si="46"/>
        <v>Walmart Total</v>
      </c>
      <c s="75">
        <f>IF(ISERROR(VLOOKUP(CV279,$AL$8:$AL$15,1,FALSE))=TRUE,IF(AND(CV279=CW279,CV279&lt;&gt;"",DI$111&lt;&gt;"",DK279&lt;&gt;""),IF(CW$101="Y",DK279-IF(ISERROR(VLOOKUP(CV279,$CA$113:$DK$300,37,FALSE))=TRUE,0,IF(VLOOKUP(CV279,$CA$113:$DK$300,37,FALSE)="",0,VLOOKUP(CV279,$CA$113:$DK$300,37,FALSE))),DK279-IF(AND(CW$102="Y",CV279=$CW$111),DI$111,0)),""),"")</f>
      </c>
      <c s="76">
        <f>IF(ISERROR(VLOOKUP(CV279,$AL$8:$AL$15,1,FALSE))=TRUE,IF(CB279&lt;&gt;"",IF(CB279&gt;0,IF(Z$4&lt;&gt;"",MIN(4,RANK(CB279,$CB$111:$CB$300)),RANK(CB279,$CB$111:$CB$300)),""),""),"")</f>
      </c>
      <c s="75">
        <f>IF(ISERROR(VLOOKUP(CV279,$AL$8:$AL$15,1,FALSE))=TRUE,IF(AND(ISERROR(FIND("NeighMkt",$CX$102))=FALSE,LEFT($CW$111,10)="ALL OUTLET",$CA279&lt;&gt;"",DK279&lt;&gt;""),"",IF(AND($CV279&lt;&gt;$CW279,$CW279=CD$110),$DK279,"")),"")</f>
      </c>
      <c s="76">
        <f>IF(ISERROR(VLOOKUP(CV279,$AL$8:$AL$15,1,FALSE))=TRUE,IF(CD279&lt;&gt;"",IF(CD279&gt;0,RANK(CD279,$CD$111:$CD$300),""),""),"")</f>
      </c>
      <c s="75">
        <f>IF(ISERROR(VLOOKUP(CV279,$AL$8:$AL$15,1,FALSE))=TRUE,IF(AND(ISERROR(FIND("NeighMkt",$CX$102))=FALSE,LEFT($CW$111,10)="ALL OUTLET",$CA279&lt;&gt;"",DK279&lt;&gt;""),"",IF(AND($CV279&lt;&gt;$CW279,$CW279=CF$110),$DK279,"")),"")</f>
      </c>
      <c s="76">
        <f>IF(ISERROR(VLOOKUP(CV279,$AL$8:$AL$15,1,FALSE))=TRUE,IF(CF279&lt;&gt;"",IF(CF279&gt;0,RANK(CF279,$CF$111:$CF$300),""),""),"")</f>
      </c>
      <c s="75">
        <f>IF(ISERROR(VLOOKUP(CV279,$AL$8:$AL$15,1,FALSE))=TRUE,IF(AND(ISERROR(FIND("NeighMkt",$CX$102))=FALSE,LEFT($CW$111,10)="ALL OUTLET",$CA279&lt;&gt;"",DK279&lt;&gt;""),"",IF(AND($CV279&lt;&gt;$CW279,$CW279=CH$110),$DK279,"")),"")</f>
        <v>94683494.4788456</v>
      </c>
      <c s="76">
        <f>IF(ISERROR(VLOOKUP(CV279,$AL$8:$AL$15,1,FALSE))=TRUE,IF(CH279&lt;&gt;"",IF(CH279&gt;0,RANK(CH279,$CH$111:$CH$300),""),""),"")</f>
        <v>1</v>
      </c>
      <c s="75">
        <f>IF(ISERROR(VLOOKUP(CV279,$AL$8:$AL$15,1,FALSE))=TRUE,IF(AND(ISERROR(FIND("NeighMkt",$CX$102))=FALSE,LEFT($CW$111,10)="ALL OUTLET",$CA279&lt;&gt;"",DK279&lt;&gt;""),"",IF($Z$4="",IF(AND($CV279&lt;&gt;$CW279,$CW279=CJ$110),$DK279,""),IF(AND($CV279&lt;&gt;$CW279,$CW279&lt;&gt;CD$110,$CW279&lt;&gt;CF$110,$CW279&lt;&gt;CH$110,$CW279&lt;&gt;$CV$111),$DK279,""))),"")</f>
      </c>
      <c s="76">
        <f>IF(ISERROR(VLOOKUP(CV279,$AL$8:$AL$15,1,FALSE))=TRUE,IF(CJ279&lt;&gt;"",IF(CJ279&gt;0,RANK(CJ279,$CJ$111:$CJ$300),""),""),"")</f>
      </c>
      <c s="75">
        <f>IF(ISERROR(VLOOKUP(CV279,$AL$8:$AL$15,1,FALSE))=TRUE,IF(AND(CV279=CW279,CV279&lt;&gt;"",DJ279&lt;&gt;""),IF(AND(ISERROR(FIND("NeighMkt",$CX$102))=FALSE,LEFT($CW$111,10)="ALL OUTLET"),DJ279-IF(ISERROR(VLOOKUP(CV279,$CA$113:$DK$300,36,FALSE))=TRUE,0,IF(VLOOKUP(CV279,$CA$113:$DK$300,36,FALSE)="",0,VLOOKUP(CV279,$CA$113:$DK$300,36,FALSE))),DJ279),""),"")</f>
      </c>
      <c s="76">
        <f>IF(ISERROR(VLOOKUP(CV279,$AL$8:$AL$15,1,FALSE))=TRUE,IF(CL279&lt;&gt;"",IF(CL279&gt;0,IF($Z$4&lt;&gt;"",MIN(4,RANK(CL279,$CL$111:$CL$300)),RANK(CL279,$CL$111:$CL$300)),""),""),"")</f>
      </c>
      <c s="75">
        <f>IF(ISERROR(VLOOKUP(CV279,$AL$8:$AL$15,1,FALSE))=TRUE,IF(AND(ISERROR(FIND("NeighMkt",$CX$102))=FALSE,LEFT($CW$111,10)="ALL OUTLET",$CA279&lt;&gt;"",DJ279&lt;&gt;""),"",IF(AND($CV279&lt;&gt;$CW279,$CW279=CN$110),$DJ279,"")),"")</f>
      </c>
      <c s="76">
        <f>IF(ISERROR(VLOOKUP(CV279,$AL$8:$AL$15,1,FALSE))=TRUE,IF(CN279&lt;&gt;"",IF(CN279&gt;0,RANK(CN279,$CN$111:$CN$300),""),""),"")</f>
      </c>
      <c s="75">
        <f>IF(ISERROR(VLOOKUP(CV279,$AL$8:$AL$15,1,FALSE))=TRUE,IF(AND(ISERROR(FIND("NeighMkt",$CX$102))=FALSE,LEFT($CW$111,10)="ALL OUTLET",$CA279&lt;&gt;"",DJ279&lt;&gt;""),"",IF(AND($CV279&lt;&gt;$CW279,$CW279=CP$110),$DJ279,"")),"")</f>
      </c>
      <c s="76">
        <f>IF(ISERROR(VLOOKUP(CV279,$AL$8:$AL$15,1,FALSE))=TRUE,IF(CP279&lt;&gt;"",IF(CP279&gt;0,RANK(CP279,$CP$111:$CP$300),""),""),"")</f>
      </c>
      <c s="75">
        <f>IF(ISERROR(VLOOKUP(CV279,$AL$8:$AL$15,1,FALSE))=TRUE,IF(AND(ISERROR(FIND("NeighMkt",$CX$102))=FALSE,LEFT($CW$111,10)="ALL OUTLET",$CA279&lt;&gt;"",DJ279&lt;&gt;""),"",IF(AND($CV279&lt;&gt;$CW279,$CW279=CR$110),$DJ279,"")),"")</f>
        <v>353282054.363447</v>
      </c>
      <c s="76">
        <f>IF(ISERROR(VLOOKUP(CV279,$AL$8:$AL$15,1,FALSE))=TRUE,IF(CR279&lt;&gt;"",IF(CR279&gt;0,RANK(CR279,$CR$111:$CR$300),""),""),"")</f>
        <v>1</v>
      </c>
      <c s="75">
        <f>IF(ISERROR(VLOOKUP(CV279,$AL$8:$AL$15,1,FALSE))=TRUE,IF(AND(ISERROR(FIND("NeighMkt",$CX$102))=FALSE,LEFT($CW$111,10)="ALL OUTLET",$CA279&lt;&gt;"",DJ279&lt;&gt;""),"",IF($Z$4="",IF(AND($CV279&lt;&gt;$CW279,$CW279=CT$110),$DJ279,""),IF(AND($CV279&lt;&gt;$CW279,$CW279&lt;&gt;CN$110,$CW279&lt;&gt;CP$110,$CW279&lt;&gt;CR$110,$CW279&lt;&gt;$CV$111),$DJ279,""))),"")</f>
      </c>
      <c s="76">
        <f>IF(ISERROR(VLOOKUP(CV279,$AL$8:$AL$15,1,FALSE))=TRUE,IF(CT279&lt;&gt;"",IF(CT279&gt;0,RANK(CT279,$CT$111:$CT$300),""),""),"")</f>
      </c>
      <c s="65" t="str">
        <f t="shared" si="47"/>
        <v>Walmart Supercenter</v>
      </c>
      <c s="65" t="str">
        <f t="shared" si="48"/>
        <v>Walmart Total</v>
      </c>
      <c s="72" t="str">
        <f>IF('[1]Leakage Tree Data'!A178&lt;&gt;"",'[1]Leakage Tree Data'!A178,"")</f>
        <v>Total US - Walmart Supercenter</v>
      </c>
      <c s="72" t="str">
        <f>IF('[1]Leakage Tree Data'!B178&lt;&gt;"",'[1]Leakage Tree Data'!B178,"")</f>
        <v>Total US - Walmart Total</v>
      </c>
      <c s="72">
        <f>IF('[1]Leakage Tree Data'!C178&lt;&gt;"",'[1]Leakage Tree Data'!C178,"")</f>
        <v>121171760.292236</v>
      </c>
      <c s="72">
        <f>IF('[1]Leakage Tree Data'!D178&lt;&gt;"",'[1]Leakage Tree Data'!D178,"")</f>
        <v>88065615.8851013</v>
      </c>
      <c s="72">
        <f>IF('[1]Leakage Tree Data'!E178&lt;&gt;"",'[1]Leakage Tree Data'!E178,"")</f>
        <v>72.6783333614275</v>
      </c>
      <c s="72">
        <f>IF('[1]Leakage Tree Data'!F178&lt;&gt;"",'[1]Leakage Tree Data'!F178,"")</f>
        <v>33106144.407135</v>
      </c>
      <c s="72">
        <f>IF('[1]Leakage Tree Data'!G178&lt;&gt;"",'[1]Leakage Tree Data'!G178,"")</f>
        <v>27.3216666385725</v>
      </c>
      <c s="72">
        <f>IF('[1]Leakage Tree Data'!H178&lt;&gt;"",'[1]Leakage Tree Data'!H178,"")</f>
        <v>61518209.9918823</v>
      </c>
      <c s="72" t="str">
        <f>IF('[1]Leakage Tree Data'!I178&lt;&gt;"",'[1]Leakage Tree Data'!I178,"")</f>
        <v>Walmart Total</v>
      </c>
      <c s="72">
        <f>IF('[1]Leakage Tree Data'!J178&lt;&gt;"",'[1]Leakage Tree Data'!J178,"")</f>
        <v>63.9649708245446</v>
      </c>
      <c s="72">
        <f>IF('[1]Leakage Tree Data'!K178&lt;&gt;"",'[1]Leakage Tree Data'!K178,"")</f>
        <v>22168104.9187927</v>
      </c>
      <c s="72">
        <f>IF('[1]Leakage Tree Data'!L178&lt;&gt;"",'[1]Leakage Tree Data'!L178,"")</f>
        <v>94683494.4788456</v>
      </c>
      <c s="72">
        <f>IF('[1]Leakage Tree Data'!M178&lt;&gt;"",'[1]Leakage Tree Data'!M178,"")</f>
        <v>353282054.363447</v>
      </c>
      <c s="72">
        <f>IF('[1]Leakage Tree Data'!N178&lt;&gt;"",'[1]Leakage Tree Data'!N178,"")</f>
        <v>94683494.4788456</v>
      </c>
      <c s="72">
        <f>IF('[1]Leakage Tree Data'!O178&lt;&gt;"",'[1]Leakage Tree Data'!O178,"")</f>
        <v>53.5787138626071</v>
      </c>
      <c s="72">
        <f>IF('[1]Leakage Tree Data'!P178&lt;&gt;"",'[1]Leakage Tree Data'!P178,"")</f>
        <v>25190841.5506645</v>
      </c>
      <c s="72">
        <f>IF('[1]Leakage Tree Data'!Q178&lt;&gt;"",'[1]Leakage Tree Data'!Q178,"")</f>
      </c>
      <c s="72">
        <f>IF('[1]Leakage Tree Data'!R178&lt;&gt;"",'[1]Leakage Tree Data'!R178,"")</f>
        <v>1017625.85098267</v>
      </c>
      <c s="72">
        <f>IF('[1]Leakage Tree Data'!S178&lt;&gt;"",'[1]Leakage Tree Data'!S178,"")</f>
        <v>710625.85458374</v>
      </c>
      <c s="72">
        <f>IF('[1]Leakage Tree Data'!T178&lt;&gt;"",'[1]Leakage Tree Data'!T178,"")</f>
        <v>-0.024108744905206</v>
      </c>
      <c s="72">
        <f>IF('[1]Leakage Tree Data'!U178&lt;&gt;"",'[1]Leakage Tree Data'!U178,"")</f>
        <v>306999.996398926</v>
      </c>
      <c s="72">
        <f>IF('[1]Leakage Tree Data'!V178&lt;&gt;"",'[1]Leakage Tree Data'!V178,"")</f>
        <v>0.024108744905206</v>
      </c>
      <c s="72">
        <f>IF('[1]Leakage Tree Data'!W178&lt;&gt;"",'[1]Leakage Tree Data'!W178,"")</f>
        <v>-1855949.2237854</v>
      </c>
      <c s="72">
        <f>IF('[1]Leakage Tree Data'!X178&lt;&gt;"",'[1]Leakage Tree Data'!X178,"")</f>
      </c>
      <c s="72">
        <f>IF('[1]Leakage Tree Data'!Y178&lt;&gt;"",'[1]Leakage Tree Data'!Y178,"")</f>
        <v>-0.841678583930843</v>
      </c>
      <c s="72">
        <f>IF('[1]Leakage Tree Data'!Z178&lt;&gt;"",'[1]Leakage Tree Data'!Z178,"")</f>
        <v>-135385.118408203</v>
      </c>
      <c s="72">
        <f>IF('[1]Leakage Tree Data'!AA178&lt;&gt;"",'[1]Leakage Tree Data'!AA178,"")</f>
        <v>-5835892.5997529</v>
      </c>
      <c s="72">
        <f>IF('[1]Leakage Tree Data'!AB178&lt;&gt;"",'[1]Leakage Tree Data'!AB178,"")</f>
        <v>-4391561.89231443</v>
      </c>
      <c s="72">
        <f>IF('[1]Leakage Tree Data'!AC178&lt;&gt;"",'[1]Leakage Tree Data'!AC178,"")</f>
        <v>-5835892.5997529</v>
      </c>
      <c s="72">
        <f>IF('[1]Leakage Tree Data'!AD178&lt;&gt;"",'[1]Leakage Tree Data'!AD178,"")</f>
        <v>0.827684187069856</v>
      </c>
      <c s="72">
        <f>IF('[1]Leakage Tree Data'!AE178&lt;&gt;"",'[1]Leakage Tree Data'!AE178,"")</f>
      </c>
      <c s="73">
        <f t="shared" si="49"/>
      </c>
      <c s="73">
        <f t="shared" si="50"/>
      </c>
      <c s="73">
        <f t="shared" si="51"/>
      </c>
      <c s="73">
        <f t="shared" si="52"/>
      </c>
      <c s="74">
        <f t="shared" si="53"/>
      </c>
      <c s="74">
        <f t="shared" si="54"/>
      </c>
      <c s="69" t="str">
        <f t="shared" si="55"/>
        <v>Total US - Walmart Supercenter</v>
      </c>
      <c s="69" t="str">
        <f t="shared" si="56"/>
        <v>Total US - Walmart Total</v>
      </c>
    </row>
    <row r="280" spans="1:140" ht="15">
      <c r="A28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280,$AL$8:$AL$15,1,FALSE))=TRUE,IF(AND(CV280=CW280,CV280&lt;&gt;"",DI$111&lt;&gt;"",DK280&lt;&gt;""),IF(CW$101="Y",DK280-IF(ISERROR(VLOOKUP(CV280,$CA$113:$DK$300,37,FALSE))=TRUE,0,IF(VLOOKUP(CV280,$CA$113:$DK$300,37,FALSE)="",0,VLOOKUP(CV280,$CA$113:$DK$300,37,FALSE))),DK280-IF(AND(CW$102="Y",CV280=$CW$111),DI$111,0)),""),"")</f>
      </c>
      <c s="76">
        <f>IF(ISERROR(VLOOKUP(CV280,$AL$8:$AL$15,1,FALSE))=TRUE,IF(CB280&lt;&gt;"",IF(CB280&gt;0,IF(Z$4&lt;&gt;"",MIN(4,RANK(CB280,$CB$111:$CB$300)),RANK(CB280,$CB$111:$CB$300)),""),""),"")</f>
      </c>
      <c s="75">
        <f>IF(ISERROR(VLOOKUP(CV280,$AL$8:$AL$15,1,FALSE))=TRUE,IF(AND(ISERROR(FIND("NeighMkt",$CX$102))=FALSE,LEFT($CW$111,10)="ALL OUTLET",$CA280&lt;&gt;"",DK280&lt;&gt;""),"",IF(AND($CV280&lt;&gt;$CW280,$CW280=CD$110),$DK280,"")),"")</f>
      </c>
      <c s="76">
        <f>IF(ISERROR(VLOOKUP(CV280,$AL$8:$AL$15,1,FALSE))=TRUE,IF(CD280&lt;&gt;"",IF(CD280&gt;0,RANK(CD280,$CD$111:$CD$300),""),""),"")</f>
      </c>
      <c s="75">
        <f>IF(ISERROR(VLOOKUP(CV280,$AL$8:$AL$15,1,FALSE))=TRUE,IF(AND(ISERROR(FIND("NeighMkt",$CX$102))=FALSE,LEFT($CW$111,10)="ALL OUTLET",$CA280&lt;&gt;"",DK280&lt;&gt;""),"",IF(AND($CV280&lt;&gt;$CW280,$CW280=CF$110),$DK280,"")),"")</f>
      </c>
      <c s="76">
        <f>IF(ISERROR(VLOOKUP(CV280,$AL$8:$AL$15,1,FALSE))=TRUE,IF(CF280&lt;&gt;"",IF(CF280&gt;0,RANK(CF280,$CF$111:$CF$300),""),""),"")</f>
      </c>
      <c s="75">
        <f>IF(ISERROR(VLOOKUP(CV280,$AL$8:$AL$15,1,FALSE))=TRUE,IF(AND(ISERROR(FIND("NeighMkt",$CX$102))=FALSE,LEFT($CW$111,10)="ALL OUTLET",$CA280&lt;&gt;"",DK280&lt;&gt;""),"",IF(AND($CV280&lt;&gt;$CW280,$CW280=CH$110),$DK280,"")),"")</f>
      </c>
      <c s="76">
        <f>IF(ISERROR(VLOOKUP(CV280,$AL$8:$AL$15,1,FALSE))=TRUE,IF(CH280&lt;&gt;"",IF(CH280&gt;0,RANK(CH280,$CH$111:$CH$300),""),""),"")</f>
      </c>
      <c s="75">
        <f>IF(ISERROR(VLOOKUP(CV280,$AL$8:$AL$15,1,FALSE))=TRUE,IF(AND(ISERROR(FIND("NeighMkt",$CX$102))=FALSE,LEFT($CW$111,10)="ALL OUTLET",$CA280&lt;&gt;"",DK280&lt;&gt;""),"",IF($Z$4="",IF(AND($CV280&lt;&gt;$CW280,$CW280=CJ$110),$DK280,""),IF(AND($CV280&lt;&gt;$CW280,$CW280&lt;&gt;CD$110,$CW280&lt;&gt;CF$110,$CW280&lt;&gt;CH$110,$CW280&lt;&gt;$CV$111),$DK280,""))),"")</f>
      </c>
      <c s="76">
        <f>IF(ISERROR(VLOOKUP(CV280,$AL$8:$AL$15,1,FALSE))=TRUE,IF(CJ280&lt;&gt;"",IF(CJ280&gt;0,RANK(CJ280,$CJ$111:$CJ$300),""),""),"")</f>
      </c>
      <c s="75">
        <f>IF(ISERROR(VLOOKUP(CV280,$AL$8:$AL$15,1,FALSE))=TRUE,IF(AND(CV280=CW280,CV280&lt;&gt;"",DJ280&lt;&gt;""),IF(AND(ISERROR(FIND("NeighMkt",$CX$102))=FALSE,LEFT($CW$111,10)="ALL OUTLET"),DJ280-IF(ISERROR(VLOOKUP(CV280,$CA$113:$DK$300,36,FALSE))=TRUE,0,IF(VLOOKUP(CV280,$CA$113:$DK$300,36,FALSE)="",0,VLOOKUP(CV280,$CA$113:$DK$300,36,FALSE))),DJ280),""),"")</f>
      </c>
      <c s="76">
        <f>IF(ISERROR(VLOOKUP(CV280,$AL$8:$AL$15,1,FALSE))=TRUE,IF(CL280&lt;&gt;"",IF(CL280&gt;0,IF($Z$4&lt;&gt;"",MIN(4,RANK(CL280,$CL$111:$CL$300)),RANK(CL280,$CL$111:$CL$300)),""),""),"")</f>
      </c>
      <c s="75">
        <f>IF(ISERROR(VLOOKUP(CV280,$AL$8:$AL$15,1,FALSE))=TRUE,IF(AND(ISERROR(FIND("NeighMkt",$CX$102))=FALSE,LEFT($CW$111,10)="ALL OUTLET",$CA280&lt;&gt;"",DJ280&lt;&gt;""),"",IF(AND($CV280&lt;&gt;$CW280,$CW280=CN$110),$DJ280,"")),"")</f>
      </c>
      <c s="76">
        <f>IF(ISERROR(VLOOKUP(CV280,$AL$8:$AL$15,1,FALSE))=TRUE,IF(CN280&lt;&gt;"",IF(CN280&gt;0,RANK(CN280,$CN$111:$CN$300),""),""),"")</f>
      </c>
      <c s="75">
        <f>IF(ISERROR(VLOOKUP(CV280,$AL$8:$AL$15,1,FALSE))=TRUE,IF(AND(ISERROR(FIND("NeighMkt",$CX$102))=FALSE,LEFT($CW$111,10)="ALL OUTLET",$CA280&lt;&gt;"",DJ280&lt;&gt;""),"",IF(AND($CV280&lt;&gt;$CW280,$CW280=CP$110),$DJ280,"")),"")</f>
      </c>
      <c s="76">
        <f>IF(ISERROR(VLOOKUP(CV280,$AL$8:$AL$15,1,FALSE))=TRUE,IF(CP280&lt;&gt;"",IF(CP280&gt;0,RANK(CP280,$CP$111:$CP$300),""),""),"")</f>
      </c>
      <c s="75">
        <f>IF(ISERROR(VLOOKUP(CV280,$AL$8:$AL$15,1,FALSE))=TRUE,IF(AND(ISERROR(FIND("NeighMkt",$CX$102))=FALSE,LEFT($CW$111,10)="ALL OUTLET",$CA280&lt;&gt;"",DJ280&lt;&gt;""),"",IF(AND($CV280&lt;&gt;$CW280,$CW280=CR$110),$DJ280,"")),"")</f>
      </c>
      <c s="76">
        <f>IF(ISERROR(VLOOKUP(CV280,$AL$8:$AL$15,1,FALSE))=TRUE,IF(CR280&lt;&gt;"",IF(CR280&gt;0,RANK(CR280,$CR$111:$CR$300),""),""),"")</f>
      </c>
      <c s="75">
        <f>IF(ISERROR(VLOOKUP(CV280,$AL$8:$AL$15,1,FALSE))=TRUE,IF(AND(ISERROR(FIND("NeighMkt",$CX$102))=FALSE,LEFT($CW$111,10)="ALL OUTLET",$CA280&lt;&gt;"",DJ280&lt;&gt;""),"",IF($Z$4="",IF(AND($CV280&lt;&gt;$CW280,$CW280=CT$110),$DJ280,""),IF(AND($CV280&lt;&gt;$CW280,$CW280&lt;&gt;CN$110,$CW280&lt;&gt;CP$110,$CW280&lt;&gt;CR$110,$CW280&lt;&gt;$CV$111),$DJ280,""))),"")</f>
      </c>
      <c s="76">
        <f>IF(ISERROR(VLOOKUP(CV280,$AL$8:$AL$15,1,FALSE))=TRUE,IF(CT280&lt;&gt;"",IF(CT280&gt;0,RANK(CT280,$CT$111:$CT$300),""),""),"")</f>
      </c>
      <c s="65">
        <f t="shared" si="47"/>
      </c>
      <c s="65">
        <f t="shared" si="48"/>
      </c>
      <c s="72">
        <f>IF('[1]Leakage Tree Data'!A179&lt;&gt;"",'[1]Leakage Tree Data'!A179,"")</f>
      </c>
      <c s="72">
        <f>IF('[1]Leakage Tree Data'!B179&lt;&gt;"",'[1]Leakage Tree Data'!B179,"")</f>
      </c>
      <c s="72">
        <f>IF('[1]Leakage Tree Data'!C179&lt;&gt;"",'[1]Leakage Tree Data'!C179,"")</f>
      </c>
      <c s="72">
        <f>IF('[1]Leakage Tree Data'!D179&lt;&gt;"",'[1]Leakage Tree Data'!D179,"")</f>
      </c>
      <c s="72">
        <f>IF('[1]Leakage Tree Data'!E179&lt;&gt;"",'[1]Leakage Tree Data'!E179,"")</f>
      </c>
      <c s="72">
        <f>IF('[1]Leakage Tree Data'!F179&lt;&gt;"",'[1]Leakage Tree Data'!F179,"")</f>
      </c>
      <c s="72">
        <f>IF('[1]Leakage Tree Data'!G179&lt;&gt;"",'[1]Leakage Tree Data'!G179,"")</f>
      </c>
      <c s="72">
        <f>IF('[1]Leakage Tree Data'!H179&lt;&gt;"",'[1]Leakage Tree Data'!H179,"")</f>
      </c>
      <c s="72">
        <f>IF('[1]Leakage Tree Data'!I179&lt;&gt;"",'[1]Leakage Tree Data'!I179,"")</f>
      </c>
      <c s="72">
        <f>IF('[1]Leakage Tree Data'!J179&lt;&gt;"",'[1]Leakage Tree Data'!J179,"")</f>
      </c>
      <c s="72">
        <f>IF('[1]Leakage Tree Data'!K179&lt;&gt;"",'[1]Leakage Tree Data'!K179,"")</f>
      </c>
      <c s="72">
        <f>IF('[1]Leakage Tree Data'!L179&lt;&gt;"",'[1]Leakage Tree Data'!L179,"")</f>
      </c>
      <c s="72">
        <f>IF('[1]Leakage Tree Data'!M179&lt;&gt;"",'[1]Leakage Tree Data'!M179,"")</f>
      </c>
      <c s="72">
        <f>IF('[1]Leakage Tree Data'!N179&lt;&gt;"",'[1]Leakage Tree Data'!N179,"")</f>
      </c>
      <c s="72">
        <f>IF('[1]Leakage Tree Data'!O179&lt;&gt;"",'[1]Leakage Tree Data'!O179,"")</f>
      </c>
      <c s="72">
        <f>IF('[1]Leakage Tree Data'!P179&lt;&gt;"",'[1]Leakage Tree Data'!P179,"")</f>
      </c>
      <c s="72">
        <f>IF('[1]Leakage Tree Data'!Q179&lt;&gt;"",'[1]Leakage Tree Data'!Q179,"")</f>
      </c>
      <c s="72">
        <f>IF('[1]Leakage Tree Data'!R179&lt;&gt;"",'[1]Leakage Tree Data'!R179,"")</f>
      </c>
      <c s="72">
        <f>IF('[1]Leakage Tree Data'!S179&lt;&gt;"",'[1]Leakage Tree Data'!S179,"")</f>
      </c>
      <c s="72">
        <f>IF('[1]Leakage Tree Data'!T179&lt;&gt;"",'[1]Leakage Tree Data'!T179,"")</f>
      </c>
      <c s="72">
        <f>IF('[1]Leakage Tree Data'!U179&lt;&gt;"",'[1]Leakage Tree Data'!U179,"")</f>
      </c>
      <c s="72">
        <f>IF('[1]Leakage Tree Data'!V179&lt;&gt;"",'[1]Leakage Tree Data'!V179,"")</f>
      </c>
      <c s="72">
        <f>IF('[1]Leakage Tree Data'!W179&lt;&gt;"",'[1]Leakage Tree Data'!W179,"")</f>
      </c>
      <c s="72">
        <f>IF('[1]Leakage Tree Data'!X179&lt;&gt;"",'[1]Leakage Tree Data'!X179,"")</f>
      </c>
      <c s="72">
        <f>IF('[1]Leakage Tree Data'!Y179&lt;&gt;"",'[1]Leakage Tree Data'!Y179,"")</f>
      </c>
      <c s="72">
        <f>IF('[1]Leakage Tree Data'!Z179&lt;&gt;"",'[1]Leakage Tree Data'!Z179,"")</f>
      </c>
      <c s="72">
        <f>IF('[1]Leakage Tree Data'!AA179&lt;&gt;"",'[1]Leakage Tree Data'!AA179,"")</f>
      </c>
      <c s="72">
        <f>IF('[1]Leakage Tree Data'!AB179&lt;&gt;"",'[1]Leakage Tree Data'!AB179,"")</f>
      </c>
      <c s="72">
        <f>IF('[1]Leakage Tree Data'!AC179&lt;&gt;"",'[1]Leakage Tree Data'!AC179,"")</f>
      </c>
      <c s="72">
        <f>IF('[1]Leakage Tree Data'!AD179&lt;&gt;"",'[1]Leakage Tree Data'!AD179,"")</f>
      </c>
      <c s="72">
        <f>IF('[1]Leakage Tree Data'!AE179&lt;&gt;"",'[1]Leakage Tree Data'!AE179,"")</f>
      </c>
      <c s="73">
        <f t="shared" si="49"/>
      </c>
      <c s="73">
        <f t="shared" si="50"/>
      </c>
      <c s="73">
        <f t="shared" si="51"/>
      </c>
      <c s="73">
        <f t="shared" si="52"/>
      </c>
      <c s="74">
        <f t="shared" si="53"/>
      </c>
      <c s="74">
        <f t="shared" si="54"/>
      </c>
      <c s="69">
        <f t="shared" si="55"/>
      </c>
      <c s="69">
        <f t="shared" si="56"/>
      </c>
    </row>
    <row r="281" spans="1:140" ht="15">
      <c r="A281"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281,$AL$8:$AL$15,1,FALSE))=TRUE,IF(AND(CV281=CW281,CV281&lt;&gt;"",DI$111&lt;&gt;"",DK281&lt;&gt;""),IF(CW$101="Y",DK281-IF(ISERROR(VLOOKUP(CV281,$CA$113:$DK$300,37,FALSE))=TRUE,0,IF(VLOOKUP(CV281,$CA$113:$DK$300,37,FALSE)="",0,VLOOKUP(CV281,$CA$113:$DK$300,37,FALSE))),DK281-IF(AND(CW$102="Y",CV281=$CW$111),DI$111,0)),""),"")</f>
      </c>
      <c s="76">
        <f>IF(ISERROR(VLOOKUP(CV281,$AL$8:$AL$15,1,FALSE))=TRUE,IF(CB281&lt;&gt;"",IF(CB281&gt;0,IF(Z$4&lt;&gt;"",MIN(4,RANK(CB281,$CB$111:$CB$300)),RANK(CB281,$CB$111:$CB$300)),""),""),"")</f>
      </c>
      <c s="75">
        <f>IF(ISERROR(VLOOKUP(CV281,$AL$8:$AL$15,1,FALSE))=TRUE,IF(AND(ISERROR(FIND("NeighMkt",$CX$102))=FALSE,LEFT($CW$111,10)="ALL OUTLET",$CA281&lt;&gt;"",DK281&lt;&gt;""),"",IF(AND($CV281&lt;&gt;$CW281,$CW281=CD$110),$DK281,"")),"")</f>
      </c>
      <c s="76">
        <f>IF(ISERROR(VLOOKUP(CV281,$AL$8:$AL$15,1,FALSE))=TRUE,IF(CD281&lt;&gt;"",IF(CD281&gt;0,RANK(CD281,$CD$111:$CD$300),""),""),"")</f>
      </c>
      <c s="75">
        <f>IF(ISERROR(VLOOKUP(CV281,$AL$8:$AL$15,1,FALSE))=TRUE,IF(AND(ISERROR(FIND("NeighMkt",$CX$102))=FALSE,LEFT($CW$111,10)="ALL OUTLET",$CA281&lt;&gt;"",DK281&lt;&gt;""),"",IF(AND($CV281&lt;&gt;$CW281,$CW281=CF$110),$DK281,"")),"")</f>
      </c>
      <c s="76">
        <f>IF(ISERROR(VLOOKUP(CV281,$AL$8:$AL$15,1,FALSE))=TRUE,IF(CF281&lt;&gt;"",IF(CF281&gt;0,RANK(CF281,$CF$111:$CF$300),""),""),"")</f>
      </c>
      <c s="75">
        <f>IF(ISERROR(VLOOKUP(CV281,$AL$8:$AL$15,1,FALSE))=TRUE,IF(AND(ISERROR(FIND("NeighMkt",$CX$102))=FALSE,LEFT($CW$111,10)="ALL OUTLET",$CA281&lt;&gt;"",DK281&lt;&gt;""),"",IF(AND($CV281&lt;&gt;$CW281,$CW281=CH$110),$DK281,"")),"")</f>
      </c>
      <c s="76">
        <f>IF(ISERROR(VLOOKUP(CV281,$AL$8:$AL$15,1,FALSE))=TRUE,IF(CH281&lt;&gt;"",IF(CH281&gt;0,RANK(CH281,$CH$111:$CH$300),""),""),"")</f>
      </c>
      <c s="75">
        <f>IF(ISERROR(VLOOKUP(CV281,$AL$8:$AL$15,1,FALSE))=TRUE,IF(AND(ISERROR(FIND("NeighMkt",$CX$102))=FALSE,LEFT($CW$111,10)="ALL OUTLET",$CA281&lt;&gt;"",DK281&lt;&gt;""),"",IF($Z$4="",IF(AND($CV281&lt;&gt;$CW281,$CW281=CJ$110),$DK281,""),IF(AND($CV281&lt;&gt;$CW281,$CW281&lt;&gt;CD$110,$CW281&lt;&gt;CF$110,$CW281&lt;&gt;CH$110,$CW281&lt;&gt;$CV$111),$DK281,""))),"")</f>
      </c>
      <c s="76">
        <f>IF(ISERROR(VLOOKUP(CV281,$AL$8:$AL$15,1,FALSE))=TRUE,IF(CJ281&lt;&gt;"",IF(CJ281&gt;0,RANK(CJ281,$CJ$111:$CJ$300),""),""),"")</f>
      </c>
      <c s="75">
        <f>IF(ISERROR(VLOOKUP(CV281,$AL$8:$AL$15,1,FALSE))=TRUE,IF(AND(CV281=CW281,CV281&lt;&gt;"",DJ281&lt;&gt;""),IF(AND(ISERROR(FIND("NeighMkt",$CX$102))=FALSE,LEFT($CW$111,10)="ALL OUTLET"),DJ281-IF(ISERROR(VLOOKUP(CV281,$CA$113:$DK$300,36,FALSE))=TRUE,0,IF(VLOOKUP(CV281,$CA$113:$DK$300,36,FALSE)="",0,VLOOKUP(CV281,$CA$113:$DK$300,36,FALSE))),DJ281),""),"")</f>
      </c>
      <c s="76">
        <f>IF(ISERROR(VLOOKUP(CV281,$AL$8:$AL$15,1,FALSE))=TRUE,IF(CL281&lt;&gt;"",IF(CL281&gt;0,IF($Z$4&lt;&gt;"",MIN(4,RANK(CL281,$CL$111:$CL$300)),RANK(CL281,$CL$111:$CL$300)),""),""),"")</f>
      </c>
      <c s="75">
        <f>IF(ISERROR(VLOOKUP(CV281,$AL$8:$AL$15,1,FALSE))=TRUE,IF(AND(ISERROR(FIND("NeighMkt",$CX$102))=FALSE,LEFT($CW$111,10)="ALL OUTLET",$CA281&lt;&gt;"",DJ281&lt;&gt;""),"",IF(AND($CV281&lt;&gt;$CW281,$CW281=CN$110),$DJ281,"")),"")</f>
      </c>
      <c s="76">
        <f>IF(ISERROR(VLOOKUP(CV281,$AL$8:$AL$15,1,FALSE))=TRUE,IF(CN281&lt;&gt;"",IF(CN281&gt;0,RANK(CN281,$CN$111:$CN$300),""),""),"")</f>
      </c>
      <c s="75">
        <f>IF(ISERROR(VLOOKUP(CV281,$AL$8:$AL$15,1,FALSE))=TRUE,IF(AND(ISERROR(FIND("NeighMkt",$CX$102))=FALSE,LEFT($CW$111,10)="ALL OUTLET",$CA281&lt;&gt;"",DJ281&lt;&gt;""),"",IF(AND($CV281&lt;&gt;$CW281,$CW281=CP$110),$DJ281,"")),"")</f>
      </c>
      <c s="76">
        <f>IF(ISERROR(VLOOKUP(CV281,$AL$8:$AL$15,1,FALSE))=TRUE,IF(CP281&lt;&gt;"",IF(CP281&gt;0,RANK(CP281,$CP$111:$CP$300),""),""),"")</f>
      </c>
      <c s="75">
        <f>IF(ISERROR(VLOOKUP(CV281,$AL$8:$AL$15,1,FALSE))=TRUE,IF(AND(ISERROR(FIND("NeighMkt",$CX$102))=FALSE,LEFT($CW$111,10)="ALL OUTLET",$CA281&lt;&gt;"",DJ281&lt;&gt;""),"",IF(AND($CV281&lt;&gt;$CW281,$CW281=CR$110),$DJ281,"")),"")</f>
      </c>
      <c s="76">
        <f>IF(ISERROR(VLOOKUP(CV281,$AL$8:$AL$15,1,FALSE))=TRUE,IF(CR281&lt;&gt;"",IF(CR281&gt;0,RANK(CR281,$CR$111:$CR$300),""),""),"")</f>
      </c>
      <c s="75">
        <f>IF(ISERROR(VLOOKUP(CV281,$AL$8:$AL$15,1,FALSE))=TRUE,IF(AND(ISERROR(FIND("NeighMkt",$CX$102))=FALSE,LEFT($CW$111,10)="ALL OUTLET",$CA281&lt;&gt;"",DJ281&lt;&gt;""),"",IF($Z$4="",IF(AND($CV281&lt;&gt;$CW281,$CW281=CT$110),$DJ281,""),IF(AND($CV281&lt;&gt;$CW281,$CW281&lt;&gt;CN$110,$CW281&lt;&gt;CP$110,$CW281&lt;&gt;CR$110,$CW281&lt;&gt;$CV$111),$DJ281,""))),"")</f>
      </c>
      <c s="76">
        <f>IF(ISERROR(VLOOKUP(CV281,$AL$8:$AL$15,1,FALSE))=TRUE,IF(CT281&lt;&gt;"",IF(CT281&gt;0,RANK(CT281,$CT$111:$CT$300),""),""),"")</f>
      </c>
      <c s="65">
        <f t="shared" si="47"/>
      </c>
      <c s="65">
        <f t="shared" si="48"/>
      </c>
      <c s="72">
        <f>IF('[1]Leakage Tree Data'!A180&lt;&gt;"",'[1]Leakage Tree Data'!A180,"")</f>
      </c>
      <c s="72">
        <f>IF('[1]Leakage Tree Data'!B180&lt;&gt;"",'[1]Leakage Tree Data'!B180,"")</f>
      </c>
      <c s="72">
        <f>IF('[1]Leakage Tree Data'!C180&lt;&gt;"",'[1]Leakage Tree Data'!C180,"")</f>
      </c>
      <c s="72">
        <f>IF('[1]Leakage Tree Data'!D180&lt;&gt;"",'[1]Leakage Tree Data'!D180,"")</f>
      </c>
      <c s="72">
        <f>IF('[1]Leakage Tree Data'!E180&lt;&gt;"",'[1]Leakage Tree Data'!E180,"")</f>
      </c>
      <c s="72">
        <f>IF('[1]Leakage Tree Data'!F180&lt;&gt;"",'[1]Leakage Tree Data'!F180,"")</f>
      </c>
      <c s="72">
        <f>IF('[1]Leakage Tree Data'!G180&lt;&gt;"",'[1]Leakage Tree Data'!G180,"")</f>
      </c>
      <c s="72">
        <f>IF('[1]Leakage Tree Data'!H180&lt;&gt;"",'[1]Leakage Tree Data'!H180,"")</f>
      </c>
      <c s="72">
        <f>IF('[1]Leakage Tree Data'!I180&lt;&gt;"",'[1]Leakage Tree Data'!I180,"")</f>
      </c>
      <c s="72">
        <f>IF('[1]Leakage Tree Data'!J180&lt;&gt;"",'[1]Leakage Tree Data'!J180,"")</f>
      </c>
      <c s="72">
        <f>IF('[1]Leakage Tree Data'!K180&lt;&gt;"",'[1]Leakage Tree Data'!K180,"")</f>
      </c>
      <c s="72">
        <f>IF('[1]Leakage Tree Data'!L180&lt;&gt;"",'[1]Leakage Tree Data'!L180,"")</f>
      </c>
      <c s="72">
        <f>IF('[1]Leakage Tree Data'!M180&lt;&gt;"",'[1]Leakage Tree Data'!M180,"")</f>
      </c>
      <c s="72">
        <f>IF('[1]Leakage Tree Data'!N180&lt;&gt;"",'[1]Leakage Tree Data'!N180,"")</f>
      </c>
      <c s="72">
        <f>IF('[1]Leakage Tree Data'!O180&lt;&gt;"",'[1]Leakage Tree Data'!O180,"")</f>
      </c>
      <c s="72">
        <f>IF('[1]Leakage Tree Data'!P180&lt;&gt;"",'[1]Leakage Tree Data'!P180,"")</f>
      </c>
      <c s="72">
        <f>IF('[1]Leakage Tree Data'!Q180&lt;&gt;"",'[1]Leakage Tree Data'!Q180,"")</f>
      </c>
      <c s="72">
        <f>IF('[1]Leakage Tree Data'!R180&lt;&gt;"",'[1]Leakage Tree Data'!R180,"")</f>
      </c>
      <c s="72">
        <f>IF('[1]Leakage Tree Data'!S180&lt;&gt;"",'[1]Leakage Tree Data'!S180,"")</f>
      </c>
      <c s="72">
        <f>IF('[1]Leakage Tree Data'!T180&lt;&gt;"",'[1]Leakage Tree Data'!T180,"")</f>
      </c>
      <c s="72">
        <f>IF('[1]Leakage Tree Data'!U180&lt;&gt;"",'[1]Leakage Tree Data'!U180,"")</f>
      </c>
      <c s="72">
        <f>IF('[1]Leakage Tree Data'!V180&lt;&gt;"",'[1]Leakage Tree Data'!V180,"")</f>
      </c>
      <c s="72">
        <f>IF('[1]Leakage Tree Data'!W180&lt;&gt;"",'[1]Leakage Tree Data'!W180,"")</f>
      </c>
      <c s="72">
        <f>IF('[1]Leakage Tree Data'!X180&lt;&gt;"",'[1]Leakage Tree Data'!X180,"")</f>
      </c>
      <c s="72">
        <f>IF('[1]Leakage Tree Data'!Y180&lt;&gt;"",'[1]Leakage Tree Data'!Y180,"")</f>
      </c>
      <c s="72">
        <f>IF('[1]Leakage Tree Data'!Z180&lt;&gt;"",'[1]Leakage Tree Data'!Z180,"")</f>
      </c>
      <c s="72">
        <f>IF('[1]Leakage Tree Data'!AA180&lt;&gt;"",'[1]Leakage Tree Data'!AA180,"")</f>
      </c>
      <c s="72">
        <f>IF('[1]Leakage Tree Data'!AB180&lt;&gt;"",'[1]Leakage Tree Data'!AB180,"")</f>
      </c>
      <c s="72">
        <f>IF('[1]Leakage Tree Data'!AC180&lt;&gt;"",'[1]Leakage Tree Data'!AC180,"")</f>
      </c>
      <c s="72">
        <f>IF('[1]Leakage Tree Data'!AD180&lt;&gt;"",'[1]Leakage Tree Data'!AD180,"")</f>
      </c>
      <c s="72">
        <f>IF('[1]Leakage Tree Data'!AE180&lt;&gt;"",'[1]Leakage Tree Data'!AE180,"")</f>
      </c>
      <c s="73">
        <f t="shared" si="49"/>
      </c>
      <c s="73">
        <f t="shared" si="50"/>
      </c>
      <c s="73">
        <f t="shared" si="51"/>
      </c>
      <c s="73">
        <f t="shared" si="52"/>
      </c>
      <c s="74">
        <f t="shared" si="53"/>
      </c>
      <c s="74">
        <f t="shared" si="54"/>
      </c>
      <c s="69">
        <f t="shared" si="55"/>
      </c>
      <c s="69">
        <f t="shared" si="56"/>
      </c>
    </row>
    <row r="282" spans="1:140" ht="15">
      <c r="A282"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282,$AL$8:$AL$15,1,FALSE))=TRUE,IF(AND(CV282=CW282,CV282&lt;&gt;"",DI$111&lt;&gt;"",DK282&lt;&gt;""),IF(CW$101="Y",DK282-IF(ISERROR(VLOOKUP(CV282,$CA$113:$DK$300,37,FALSE))=TRUE,0,IF(VLOOKUP(CV282,$CA$113:$DK$300,37,FALSE)="",0,VLOOKUP(CV282,$CA$113:$DK$300,37,FALSE))),DK282-IF(AND(CW$102="Y",CV282=$CW$111),DI$111,0)),""),"")</f>
      </c>
      <c s="76">
        <f>IF(ISERROR(VLOOKUP(CV282,$AL$8:$AL$15,1,FALSE))=TRUE,IF(CB282&lt;&gt;"",IF(CB282&gt;0,IF(Z$4&lt;&gt;"",MIN(4,RANK(CB282,$CB$111:$CB$300)),RANK(CB282,$CB$111:$CB$300)),""),""),"")</f>
      </c>
      <c s="75">
        <f>IF(ISERROR(VLOOKUP(CV282,$AL$8:$AL$15,1,FALSE))=TRUE,IF(AND(ISERROR(FIND("NeighMkt",$CX$102))=FALSE,LEFT($CW$111,10)="ALL OUTLET",$CA282&lt;&gt;"",DK282&lt;&gt;""),"",IF(AND($CV282&lt;&gt;$CW282,$CW282=CD$110),$DK282,"")),"")</f>
      </c>
      <c s="76">
        <f>IF(ISERROR(VLOOKUP(CV282,$AL$8:$AL$15,1,FALSE))=TRUE,IF(CD282&lt;&gt;"",IF(CD282&gt;0,RANK(CD282,$CD$111:$CD$300),""),""),"")</f>
      </c>
      <c s="75">
        <f>IF(ISERROR(VLOOKUP(CV282,$AL$8:$AL$15,1,FALSE))=TRUE,IF(AND(ISERROR(FIND("NeighMkt",$CX$102))=FALSE,LEFT($CW$111,10)="ALL OUTLET",$CA282&lt;&gt;"",DK282&lt;&gt;""),"",IF(AND($CV282&lt;&gt;$CW282,$CW282=CF$110),$DK282,"")),"")</f>
      </c>
      <c s="76">
        <f>IF(ISERROR(VLOOKUP(CV282,$AL$8:$AL$15,1,FALSE))=TRUE,IF(CF282&lt;&gt;"",IF(CF282&gt;0,RANK(CF282,$CF$111:$CF$300),""),""),"")</f>
      </c>
      <c s="75">
        <f>IF(ISERROR(VLOOKUP(CV282,$AL$8:$AL$15,1,FALSE))=TRUE,IF(AND(ISERROR(FIND("NeighMkt",$CX$102))=FALSE,LEFT($CW$111,10)="ALL OUTLET",$CA282&lt;&gt;"",DK282&lt;&gt;""),"",IF(AND($CV282&lt;&gt;$CW282,$CW282=CH$110),$DK282,"")),"")</f>
      </c>
      <c s="76">
        <f>IF(ISERROR(VLOOKUP(CV282,$AL$8:$AL$15,1,FALSE))=TRUE,IF(CH282&lt;&gt;"",IF(CH282&gt;0,RANK(CH282,$CH$111:$CH$300),""),""),"")</f>
      </c>
      <c s="75">
        <f>IF(ISERROR(VLOOKUP(CV282,$AL$8:$AL$15,1,FALSE))=TRUE,IF(AND(ISERROR(FIND("NeighMkt",$CX$102))=FALSE,LEFT($CW$111,10)="ALL OUTLET",$CA282&lt;&gt;"",DK282&lt;&gt;""),"",IF($Z$4="",IF(AND($CV282&lt;&gt;$CW282,$CW282=CJ$110),$DK282,""),IF(AND($CV282&lt;&gt;$CW282,$CW282&lt;&gt;CD$110,$CW282&lt;&gt;CF$110,$CW282&lt;&gt;CH$110,$CW282&lt;&gt;$CV$111),$DK282,""))),"")</f>
      </c>
      <c s="76">
        <f>IF(ISERROR(VLOOKUP(CV282,$AL$8:$AL$15,1,FALSE))=TRUE,IF(CJ282&lt;&gt;"",IF(CJ282&gt;0,RANK(CJ282,$CJ$111:$CJ$300),""),""),"")</f>
      </c>
      <c s="75">
        <f>IF(ISERROR(VLOOKUP(CV282,$AL$8:$AL$15,1,FALSE))=TRUE,IF(AND(CV282=CW282,CV282&lt;&gt;"",DJ282&lt;&gt;""),IF(AND(ISERROR(FIND("NeighMkt",$CX$102))=FALSE,LEFT($CW$111,10)="ALL OUTLET"),DJ282-IF(ISERROR(VLOOKUP(CV282,$CA$113:$DK$300,36,FALSE))=TRUE,0,IF(VLOOKUP(CV282,$CA$113:$DK$300,36,FALSE)="",0,VLOOKUP(CV282,$CA$113:$DK$300,36,FALSE))),DJ282),""),"")</f>
      </c>
      <c s="76">
        <f>IF(ISERROR(VLOOKUP(CV282,$AL$8:$AL$15,1,FALSE))=TRUE,IF(CL282&lt;&gt;"",IF(CL282&gt;0,IF($Z$4&lt;&gt;"",MIN(4,RANK(CL282,$CL$111:$CL$300)),RANK(CL282,$CL$111:$CL$300)),""),""),"")</f>
      </c>
      <c s="75">
        <f>IF(ISERROR(VLOOKUP(CV282,$AL$8:$AL$15,1,FALSE))=TRUE,IF(AND(ISERROR(FIND("NeighMkt",$CX$102))=FALSE,LEFT($CW$111,10)="ALL OUTLET",$CA282&lt;&gt;"",DJ282&lt;&gt;""),"",IF(AND($CV282&lt;&gt;$CW282,$CW282=CN$110),$DJ282,"")),"")</f>
      </c>
      <c s="76">
        <f>IF(ISERROR(VLOOKUP(CV282,$AL$8:$AL$15,1,FALSE))=TRUE,IF(CN282&lt;&gt;"",IF(CN282&gt;0,RANK(CN282,$CN$111:$CN$300),""),""),"")</f>
      </c>
      <c s="75">
        <f>IF(ISERROR(VLOOKUP(CV282,$AL$8:$AL$15,1,FALSE))=TRUE,IF(AND(ISERROR(FIND("NeighMkt",$CX$102))=FALSE,LEFT($CW$111,10)="ALL OUTLET",$CA282&lt;&gt;"",DJ282&lt;&gt;""),"",IF(AND($CV282&lt;&gt;$CW282,$CW282=CP$110),$DJ282,"")),"")</f>
      </c>
      <c s="76">
        <f>IF(ISERROR(VLOOKUP(CV282,$AL$8:$AL$15,1,FALSE))=TRUE,IF(CP282&lt;&gt;"",IF(CP282&gt;0,RANK(CP282,$CP$111:$CP$300),""),""),"")</f>
      </c>
      <c s="75">
        <f>IF(ISERROR(VLOOKUP(CV282,$AL$8:$AL$15,1,FALSE))=TRUE,IF(AND(ISERROR(FIND("NeighMkt",$CX$102))=FALSE,LEFT($CW$111,10)="ALL OUTLET",$CA282&lt;&gt;"",DJ282&lt;&gt;""),"",IF(AND($CV282&lt;&gt;$CW282,$CW282=CR$110),$DJ282,"")),"")</f>
      </c>
      <c s="76">
        <f>IF(ISERROR(VLOOKUP(CV282,$AL$8:$AL$15,1,FALSE))=TRUE,IF(CR282&lt;&gt;"",IF(CR282&gt;0,RANK(CR282,$CR$111:$CR$300),""),""),"")</f>
      </c>
      <c s="75">
        <f>IF(ISERROR(VLOOKUP(CV282,$AL$8:$AL$15,1,FALSE))=TRUE,IF(AND(ISERROR(FIND("NeighMkt",$CX$102))=FALSE,LEFT($CW$111,10)="ALL OUTLET",$CA282&lt;&gt;"",DJ282&lt;&gt;""),"",IF($Z$4="",IF(AND($CV282&lt;&gt;$CW282,$CW282=CT$110),$DJ282,""),IF(AND($CV282&lt;&gt;$CW282,$CW282&lt;&gt;CN$110,$CW282&lt;&gt;CP$110,$CW282&lt;&gt;CR$110,$CW282&lt;&gt;$CV$111),$DJ282,""))),"")</f>
      </c>
      <c s="76">
        <f>IF(ISERROR(VLOOKUP(CV282,$AL$8:$AL$15,1,FALSE))=TRUE,IF(CT282&lt;&gt;"",IF(CT282&gt;0,RANK(CT282,$CT$111:$CT$300),""),""),"")</f>
      </c>
      <c s="65">
        <f t="shared" si="47"/>
      </c>
      <c s="65">
        <f t="shared" si="48"/>
      </c>
      <c s="72">
        <f>IF('[1]Leakage Tree Data'!A181&lt;&gt;"",'[1]Leakage Tree Data'!A181,"")</f>
      </c>
      <c s="72">
        <f>IF('[1]Leakage Tree Data'!B181&lt;&gt;"",'[1]Leakage Tree Data'!B181,"")</f>
      </c>
      <c s="72">
        <f>IF('[1]Leakage Tree Data'!C181&lt;&gt;"",'[1]Leakage Tree Data'!C181,"")</f>
      </c>
      <c s="72">
        <f>IF('[1]Leakage Tree Data'!D181&lt;&gt;"",'[1]Leakage Tree Data'!D181,"")</f>
      </c>
      <c s="72">
        <f>IF('[1]Leakage Tree Data'!E181&lt;&gt;"",'[1]Leakage Tree Data'!E181,"")</f>
      </c>
      <c s="72">
        <f>IF('[1]Leakage Tree Data'!F181&lt;&gt;"",'[1]Leakage Tree Data'!F181,"")</f>
      </c>
      <c s="72">
        <f>IF('[1]Leakage Tree Data'!G181&lt;&gt;"",'[1]Leakage Tree Data'!G181,"")</f>
      </c>
      <c s="72">
        <f>IF('[1]Leakage Tree Data'!H181&lt;&gt;"",'[1]Leakage Tree Data'!H181,"")</f>
      </c>
      <c s="72">
        <f>IF('[1]Leakage Tree Data'!I181&lt;&gt;"",'[1]Leakage Tree Data'!I181,"")</f>
      </c>
      <c s="72">
        <f>IF('[1]Leakage Tree Data'!J181&lt;&gt;"",'[1]Leakage Tree Data'!J181,"")</f>
      </c>
      <c s="72">
        <f>IF('[1]Leakage Tree Data'!K181&lt;&gt;"",'[1]Leakage Tree Data'!K181,"")</f>
      </c>
      <c s="72">
        <f>IF('[1]Leakage Tree Data'!L181&lt;&gt;"",'[1]Leakage Tree Data'!L181,"")</f>
      </c>
      <c s="72">
        <f>IF('[1]Leakage Tree Data'!M181&lt;&gt;"",'[1]Leakage Tree Data'!M181,"")</f>
      </c>
      <c s="72">
        <f>IF('[1]Leakage Tree Data'!N181&lt;&gt;"",'[1]Leakage Tree Data'!N181,"")</f>
      </c>
      <c s="72">
        <f>IF('[1]Leakage Tree Data'!O181&lt;&gt;"",'[1]Leakage Tree Data'!O181,"")</f>
      </c>
      <c s="72">
        <f>IF('[1]Leakage Tree Data'!P181&lt;&gt;"",'[1]Leakage Tree Data'!P181,"")</f>
      </c>
      <c s="72">
        <f>IF('[1]Leakage Tree Data'!Q181&lt;&gt;"",'[1]Leakage Tree Data'!Q181,"")</f>
      </c>
      <c s="72">
        <f>IF('[1]Leakage Tree Data'!R181&lt;&gt;"",'[1]Leakage Tree Data'!R181,"")</f>
      </c>
      <c s="72">
        <f>IF('[1]Leakage Tree Data'!S181&lt;&gt;"",'[1]Leakage Tree Data'!S181,"")</f>
      </c>
      <c s="72">
        <f>IF('[1]Leakage Tree Data'!T181&lt;&gt;"",'[1]Leakage Tree Data'!T181,"")</f>
      </c>
      <c s="72">
        <f>IF('[1]Leakage Tree Data'!U181&lt;&gt;"",'[1]Leakage Tree Data'!U181,"")</f>
      </c>
      <c s="72">
        <f>IF('[1]Leakage Tree Data'!V181&lt;&gt;"",'[1]Leakage Tree Data'!V181,"")</f>
      </c>
      <c s="72">
        <f>IF('[1]Leakage Tree Data'!W181&lt;&gt;"",'[1]Leakage Tree Data'!W181,"")</f>
      </c>
      <c s="72">
        <f>IF('[1]Leakage Tree Data'!X181&lt;&gt;"",'[1]Leakage Tree Data'!X181,"")</f>
      </c>
      <c s="72">
        <f>IF('[1]Leakage Tree Data'!Y181&lt;&gt;"",'[1]Leakage Tree Data'!Y181,"")</f>
      </c>
      <c s="72">
        <f>IF('[1]Leakage Tree Data'!Z181&lt;&gt;"",'[1]Leakage Tree Data'!Z181,"")</f>
      </c>
      <c s="72">
        <f>IF('[1]Leakage Tree Data'!AA181&lt;&gt;"",'[1]Leakage Tree Data'!AA181,"")</f>
      </c>
      <c s="72">
        <f>IF('[1]Leakage Tree Data'!AB181&lt;&gt;"",'[1]Leakage Tree Data'!AB181,"")</f>
      </c>
      <c s="72">
        <f>IF('[1]Leakage Tree Data'!AC181&lt;&gt;"",'[1]Leakage Tree Data'!AC181,"")</f>
      </c>
      <c s="72">
        <f>IF('[1]Leakage Tree Data'!AD181&lt;&gt;"",'[1]Leakage Tree Data'!AD181,"")</f>
      </c>
      <c s="72">
        <f>IF('[1]Leakage Tree Data'!AE181&lt;&gt;"",'[1]Leakage Tree Data'!AE181,"")</f>
      </c>
      <c s="73">
        <f t="shared" si="49"/>
      </c>
      <c s="73">
        <f t="shared" si="50"/>
      </c>
      <c s="73">
        <f t="shared" si="51"/>
      </c>
      <c s="73">
        <f t="shared" si="52"/>
      </c>
      <c s="74">
        <f t="shared" si="53"/>
      </c>
      <c s="74">
        <f t="shared" si="54"/>
      </c>
      <c s="69">
        <f t="shared" si="55"/>
      </c>
      <c s="69">
        <f t="shared" si="56"/>
      </c>
    </row>
    <row r="283" spans="1:140" ht="15">
      <c r="A283"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283,$AL$8:$AL$15,1,FALSE))=TRUE,IF(AND(CV283=CW283,CV283&lt;&gt;"",DI$111&lt;&gt;"",DK283&lt;&gt;""),IF(CW$101="Y",DK283-IF(ISERROR(VLOOKUP(CV283,$CA$113:$DK$300,37,FALSE))=TRUE,0,IF(VLOOKUP(CV283,$CA$113:$DK$300,37,FALSE)="",0,VLOOKUP(CV283,$CA$113:$DK$300,37,FALSE))),DK283-IF(AND(CW$102="Y",CV283=$CW$111),DI$111,0)),""),"")</f>
      </c>
      <c s="76">
        <f>IF(ISERROR(VLOOKUP(CV283,$AL$8:$AL$15,1,FALSE))=TRUE,IF(CB283&lt;&gt;"",IF(CB283&gt;0,IF(Z$4&lt;&gt;"",MIN(4,RANK(CB283,$CB$111:$CB$300)),RANK(CB283,$CB$111:$CB$300)),""),""),"")</f>
      </c>
      <c s="75">
        <f>IF(ISERROR(VLOOKUP(CV283,$AL$8:$AL$15,1,FALSE))=TRUE,IF(AND(ISERROR(FIND("NeighMkt",$CX$102))=FALSE,LEFT($CW$111,10)="ALL OUTLET",$CA283&lt;&gt;"",DK283&lt;&gt;""),"",IF(AND($CV283&lt;&gt;$CW283,$CW283=CD$110),$DK283,"")),"")</f>
      </c>
      <c s="76">
        <f>IF(ISERROR(VLOOKUP(CV283,$AL$8:$AL$15,1,FALSE))=TRUE,IF(CD283&lt;&gt;"",IF(CD283&gt;0,RANK(CD283,$CD$111:$CD$300),""),""),"")</f>
      </c>
      <c s="75">
        <f>IF(ISERROR(VLOOKUP(CV283,$AL$8:$AL$15,1,FALSE))=TRUE,IF(AND(ISERROR(FIND("NeighMkt",$CX$102))=FALSE,LEFT($CW$111,10)="ALL OUTLET",$CA283&lt;&gt;"",DK283&lt;&gt;""),"",IF(AND($CV283&lt;&gt;$CW283,$CW283=CF$110),$DK283,"")),"")</f>
      </c>
      <c s="76">
        <f>IF(ISERROR(VLOOKUP(CV283,$AL$8:$AL$15,1,FALSE))=TRUE,IF(CF283&lt;&gt;"",IF(CF283&gt;0,RANK(CF283,$CF$111:$CF$300),""),""),"")</f>
      </c>
      <c s="75">
        <f>IF(ISERROR(VLOOKUP(CV283,$AL$8:$AL$15,1,FALSE))=TRUE,IF(AND(ISERROR(FIND("NeighMkt",$CX$102))=FALSE,LEFT($CW$111,10)="ALL OUTLET",$CA283&lt;&gt;"",DK283&lt;&gt;""),"",IF(AND($CV283&lt;&gt;$CW283,$CW283=CH$110),$DK283,"")),"")</f>
      </c>
      <c s="76">
        <f>IF(ISERROR(VLOOKUP(CV283,$AL$8:$AL$15,1,FALSE))=TRUE,IF(CH283&lt;&gt;"",IF(CH283&gt;0,RANK(CH283,$CH$111:$CH$300),""),""),"")</f>
      </c>
      <c s="75">
        <f>IF(ISERROR(VLOOKUP(CV283,$AL$8:$AL$15,1,FALSE))=TRUE,IF(AND(ISERROR(FIND("NeighMkt",$CX$102))=FALSE,LEFT($CW$111,10)="ALL OUTLET",$CA283&lt;&gt;"",DK283&lt;&gt;""),"",IF($Z$4="",IF(AND($CV283&lt;&gt;$CW283,$CW283=CJ$110),$DK283,""),IF(AND($CV283&lt;&gt;$CW283,$CW283&lt;&gt;CD$110,$CW283&lt;&gt;CF$110,$CW283&lt;&gt;CH$110,$CW283&lt;&gt;$CV$111),$DK283,""))),"")</f>
      </c>
      <c s="76">
        <f>IF(ISERROR(VLOOKUP(CV283,$AL$8:$AL$15,1,FALSE))=TRUE,IF(CJ283&lt;&gt;"",IF(CJ283&gt;0,RANK(CJ283,$CJ$111:$CJ$300),""),""),"")</f>
      </c>
      <c s="75">
        <f>IF(ISERROR(VLOOKUP(CV283,$AL$8:$AL$15,1,FALSE))=TRUE,IF(AND(CV283=CW283,CV283&lt;&gt;"",DJ283&lt;&gt;""),IF(AND(ISERROR(FIND("NeighMkt",$CX$102))=FALSE,LEFT($CW$111,10)="ALL OUTLET"),DJ283-IF(ISERROR(VLOOKUP(CV283,$CA$113:$DK$300,36,FALSE))=TRUE,0,IF(VLOOKUP(CV283,$CA$113:$DK$300,36,FALSE)="",0,VLOOKUP(CV283,$CA$113:$DK$300,36,FALSE))),DJ283),""),"")</f>
      </c>
      <c s="76">
        <f>IF(ISERROR(VLOOKUP(CV283,$AL$8:$AL$15,1,FALSE))=TRUE,IF(CL283&lt;&gt;"",IF(CL283&gt;0,IF($Z$4&lt;&gt;"",MIN(4,RANK(CL283,$CL$111:$CL$300)),RANK(CL283,$CL$111:$CL$300)),""),""),"")</f>
      </c>
      <c s="75">
        <f>IF(ISERROR(VLOOKUP(CV283,$AL$8:$AL$15,1,FALSE))=TRUE,IF(AND(ISERROR(FIND("NeighMkt",$CX$102))=FALSE,LEFT($CW$111,10)="ALL OUTLET",$CA283&lt;&gt;"",DJ283&lt;&gt;""),"",IF(AND($CV283&lt;&gt;$CW283,$CW283=CN$110),$DJ283,"")),"")</f>
      </c>
      <c s="76">
        <f>IF(ISERROR(VLOOKUP(CV283,$AL$8:$AL$15,1,FALSE))=TRUE,IF(CN283&lt;&gt;"",IF(CN283&gt;0,RANK(CN283,$CN$111:$CN$300),""),""),"")</f>
      </c>
      <c s="75">
        <f>IF(ISERROR(VLOOKUP(CV283,$AL$8:$AL$15,1,FALSE))=TRUE,IF(AND(ISERROR(FIND("NeighMkt",$CX$102))=FALSE,LEFT($CW$111,10)="ALL OUTLET",$CA283&lt;&gt;"",DJ283&lt;&gt;""),"",IF(AND($CV283&lt;&gt;$CW283,$CW283=CP$110),$DJ283,"")),"")</f>
      </c>
      <c s="76">
        <f>IF(ISERROR(VLOOKUP(CV283,$AL$8:$AL$15,1,FALSE))=TRUE,IF(CP283&lt;&gt;"",IF(CP283&gt;0,RANK(CP283,$CP$111:$CP$300),""),""),"")</f>
      </c>
      <c s="75">
        <f>IF(ISERROR(VLOOKUP(CV283,$AL$8:$AL$15,1,FALSE))=TRUE,IF(AND(ISERROR(FIND("NeighMkt",$CX$102))=FALSE,LEFT($CW$111,10)="ALL OUTLET",$CA283&lt;&gt;"",DJ283&lt;&gt;""),"",IF(AND($CV283&lt;&gt;$CW283,$CW283=CR$110),$DJ283,"")),"")</f>
      </c>
      <c s="76">
        <f>IF(ISERROR(VLOOKUP(CV283,$AL$8:$AL$15,1,FALSE))=TRUE,IF(CR283&lt;&gt;"",IF(CR283&gt;0,RANK(CR283,$CR$111:$CR$300),""),""),"")</f>
      </c>
      <c s="75">
        <f>IF(ISERROR(VLOOKUP(CV283,$AL$8:$AL$15,1,FALSE))=TRUE,IF(AND(ISERROR(FIND("NeighMkt",$CX$102))=FALSE,LEFT($CW$111,10)="ALL OUTLET",$CA283&lt;&gt;"",DJ283&lt;&gt;""),"",IF($Z$4="",IF(AND($CV283&lt;&gt;$CW283,$CW283=CT$110),$DJ283,""),IF(AND($CV283&lt;&gt;$CW283,$CW283&lt;&gt;CN$110,$CW283&lt;&gt;CP$110,$CW283&lt;&gt;CR$110,$CW283&lt;&gt;$CV$111),$DJ283,""))),"")</f>
      </c>
      <c s="76">
        <f>IF(ISERROR(VLOOKUP(CV283,$AL$8:$AL$15,1,FALSE))=TRUE,IF(CT283&lt;&gt;"",IF(CT283&gt;0,RANK(CT283,$CT$111:$CT$300),""),""),"")</f>
      </c>
      <c s="65">
        <f t="shared" si="47"/>
      </c>
      <c s="65">
        <f t="shared" si="48"/>
      </c>
      <c s="72">
        <f>IF('[1]Leakage Tree Data'!A182&lt;&gt;"",'[1]Leakage Tree Data'!A182,"")</f>
      </c>
      <c s="72">
        <f>IF('[1]Leakage Tree Data'!B182&lt;&gt;"",'[1]Leakage Tree Data'!B182,"")</f>
      </c>
      <c s="72">
        <f>IF('[1]Leakage Tree Data'!C182&lt;&gt;"",'[1]Leakage Tree Data'!C182,"")</f>
      </c>
      <c s="72">
        <f>IF('[1]Leakage Tree Data'!D182&lt;&gt;"",'[1]Leakage Tree Data'!D182,"")</f>
      </c>
      <c s="72">
        <f>IF('[1]Leakage Tree Data'!E182&lt;&gt;"",'[1]Leakage Tree Data'!E182,"")</f>
      </c>
      <c s="72">
        <f>IF('[1]Leakage Tree Data'!F182&lt;&gt;"",'[1]Leakage Tree Data'!F182,"")</f>
      </c>
      <c s="72">
        <f>IF('[1]Leakage Tree Data'!G182&lt;&gt;"",'[1]Leakage Tree Data'!G182,"")</f>
      </c>
      <c s="72">
        <f>IF('[1]Leakage Tree Data'!H182&lt;&gt;"",'[1]Leakage Tree Data'!H182,"")</f>
      </c>
      <c s="72">
        <f>IF('[1]Leakage Tree Data'!I182&lt;&gt;"",'[1]Leakage Tree Data'!I182,"")</f>
      </c>
      <c s="72">
        <f>IF('[1]Leakage Tree Data'!J182&lt;&gt;"",'[1]Leakage Tree Data'!J182,"")</f>
      </c>
      <c s="72">
        <f>IF('[1]Leakage Tree Data'!K182&lt;&gt;"",'[1]Leakage Tree Data'!K182,"")</f>
      </c>
      <c s="72">
        <f>IF('[1]Leakage Tree Data'!L182&lt;&gt;"",'[1]Leakage Tree Data'!L182,"")</f>
      </c>
      <c s="72">
        <f>IF('[1]Leakage Tree Data'!M182&lt;&gt;"",'[1]Leakage Tree Data'!M182,"")</f>
      </c>
      <c s="72">
        <f>IF('[1]Leakage Tree Data'!N182&lt;&gt;"",'[1]Leakage Tree Data'!N182,"")</f>
      </c>
      <c s="72">
        <f>IF('[1]Leakage Tree Data'!O182&lt;&gt;"",'[1]Leakage Tree Data'!O182,"")</f>
      </c>
      <c s="72">
        <f>IF('[1]Leakage Tree Data'!P182&lt;&gt;"",'[1]Leakage Tree Data'!P182,"")</f>
      </c>
      <c s="72">
        <f>IF('[1]Leakage Tree Data'!Q182&lt;&gt;"",'[1]Leakage Tree Data'!Q182,"")</f>
      </c>
      <c s="72">
        <f>IF('[1]Leakage Tree Data'!R182&lt;&gt;"",'[1]Leakage Tree Data'!R182,"")</f>
      </c>
      <c s="72">
        <f>IF('[1]Leakage Tree Data'!S182&lt;&gt;"",'[1]Leakage Tree Data'!S182,"")</f>
      </c>
      <c s="72">
        <f>IF('[1]Leakage Tree Data'!T182&lt;&gt;"",'[1]Leakage Tree Data'!T182,"")</f>
      </c>
      <c s="72">
        <f>IF('[1]Leakage Tree Data'!U182&lt;&gt;"",'[1]Leakage Tree Data'!U182,"")</f>
      </c>
      <c s="72">
        <f>IF('[1]Leakage Tree Data'!V182&lt;&gt;"",'[1]Leakage Tree Data'!V182,"")</f>
      </c>
      <c s="72">
        <f>IF('[1]Leakage Tree Data'!W182&lt;&gt;"",'[1]Leakage Tree Data'!W182,"")</f>
      </c>
      <c s="72">
        <f>IF('[1]Leakage Tree Data'!X182&lt;&gt;"",'[1]Leakage Tree Data'!X182,"")</f>
      </c>
      <c s="72">
        <f>IF('[1]Leakage Tree Data'!Y182&lt;&gt;"",'[1]Leakage Tree Data'!Y182,"")</f>
      </c>
      <c s="72">
        <f>IF('[1]Leakage Tree Data'!Z182&lt;&gt;"",'[1]Leakage Tree Data'!Z182,"")</f>
      </c>
      <c s="72">
        <f>IF('[1]Leakage Tree Data'!AA182&lt;&gt;"",'[1]Leakage Tree Data'!AA182,"")</f>
      </c>
      <c s="72">
        <f>IF('[1]Leakage Tree Data'!AB182&lt;&gt;"",'[1]Leakage Tree Data'!AB182,"")</f>
      </c>
      <c s="72">
        <f>IF('[1]Leakage Tree Data'!AC182&lt;&gt;"",'[1]Leakage Tree Data'!AC182,"")</f>
      </c>
      <c s="72">
        <f>IF('[1]Leakage Tree Data'!AD182&lt;&gt;"",'[1]Leakage Tree Data'!AD182,"")</f>
      </c>
      <c s="72">
        <f>IF('[1]Leakage Tree Data'!AE182&lt;&gt;"",'[1]Leakage Tree Data'!AE182,"")</f>
      </c>
      <c s="73">
        <f t="shared" si="49"/>
      </c>
      <c s="73">
        <f t="shared" si="50"/>
      </c>
      <c s="73">
        <f t="shared" si="51"/>
      </c>
      <c s="73">
        <f t="shared" si="52"/>
      </c>
      <c s="74">
        <f t="shared" si="53"/>
      </c>
      <c s="74">
        <f t="shared" si="54"/>
      </c>
      <c s="69">
        <f t="shared" si="55"/>
      </c>
      <c s="69">
        <f t="shared" si="56"/>
      </c>
    </row>
    <row r="284" spans="1:140" s="92" customFormat="1" ht="15">
      <c r="A284"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284,$AL$8:$AL$15,1,FALSE))=TRUE,IF(AND(CV284=CW284,CV284&lt;&gt;"",DI$111&lt;&gt;"",DK284&lt;&gt;""),IF(CW$101="Y",DK284-IF(ISERROR(VLOOKUP(CV284,$CA$113:$DK$300,37,FALSE))=TRUE,0,IF(VLOOKUP(CV284,$CA$113:$DK$300,37,FALSE)="",0,VLOOKUP(CV284,$CA$113:$DK$300,37,FALSE))),DK284-IF(AND(CW$102="Y",CV284=$CW$111),DI$111,0)),""),"")</f>
      </c>
      <c s="76">
        <f>IF(ISERROR(VLOOKUP(CV284,$AL$8:$AL$15,1,FALSE))=TRUE,IF(CB284&lt;&gt;"",IF(CB284&gt;0,IF(Z$4&lt;&gt;"",MIN(4,RANK(CB284,$CB$111:$CB$300)),RANK(CB284,$CB$111:$CB$300)),""),""),"")</f>
      </c>
      <c s="75">
        <f>IF(ISERROR(VLOOKUP(CV284,$AL$8:$AL$15,1,FALSE))=TRUE,IF(AND(ISERROR(FIND("NeighMkt",$CX$102))=FALSE,LEFT($CW$111,10)="ALL OUTLET",$CA284&lt;&gt;"",DK284&lt;&gt;""),"",IF(AND($CV284&lt;&gt;$CW284,$CW284=CD$110),$DK284,"")),"")</f>
      </c>
      <c s="76">
        <f>IF(ISERROR(VLOOKUP(CV284,$AL$8:$AL$15,1,FALSE))=TRUE,IF(CD284&lt;&gt;"",IF(CD284&gt;0,RANK(CD284,$CD$111:$CD$300),""),""),"")</f>
      </c>
      <c s="75">
        <f>IF(ISERROR(VLOOKUP(CV284,$AL$8:$AL$15,1,FALSE))=TRUE,IF(AND(ISERROR(FIND("NeighMkt",$CX$102))=FALSE,LEFT($CW$111,10)="ALL OUTLET",$CA284&lt;&gt;"",DK284&lt;&gt;""),"",IF(AND($CV284&lt;&gt;$CW284,$CW284=CF$110),$DK284,"")),"")</f>
      </c>
      <c s="76">
        <f>IF(ISERROR(VLOOKUP(CV284,$AL$8:$AL$15,1,FALSE))=TRUE,IF(CF284&lt;&gt;"",IF(CF284&gt;0,RANK(CF284,$CF$111:$CF$300),""),""),"")</f>
      </c>
      <c s="75">
        <f>IF(ISERROR(VLOOKUP(CV284,$AL$8:$AL$15,1,FALSE))=TRUE,IF(AND(ISERROR(FIND("NeighMkt",$CX$102))=FALSE,LEFT($CW$111,10)="ALL OUTLET",$CA284&lt;&gt;"",DK284&lt;&gt;""),"",IF(AND($CV284&lt;&gt;$CW284,$CW284=CH$110),$DK284,"")),"")</f>
      </c>
      <c s="76">
        <f>IF(ISERROR(VLOOKUP(CV284,$AL$8:$AL$15,1,FALSE))=TRUE,IF(CH284&lt;&gt;"",IF(CH284&gt;0,RANK(CH284,$CH$111:$CH$300),""),""),"")</f>
      </c>
      <c s="75">
        <f>IF(ISERROR(VLOOKUP(CV284,$AL$8:$AL$15,1,FALSE))=TRUE,IF(AND(ISERROR(FIND("NeighMkt",$CX$102))=FALSE,LEFT($CW$111,10)="ALL OUTLET",$CA284&lt;&gt;"",DK284&lt;&gt;""),"",IF($Z$4="",IF(AND($CV284&lt;&gt;$CW284,$CW284=CJ$110),$DK284,""),IF(AND($CV284&lt;&gt;$CW284,$CW284&lt;&gt;CD$110,$CW284&lt;&gt;CF$110,$CW284&lt;&gt;CH$110,$CW284&lt;&gt;$CV$111),$DK284,""))),"")</f>
      </c>
      <c s="76">
        <f>IF(ISERROR(VLOOKUP(CV284,$AL$8:$AL$15,1,FALSE))=TRUE,IF(CJ284&lt;&gt;"",IF(CJ284&gt;0,RANK(CJ284,$CJ$111:$CJ$300),""),""),"")</f>
      </c>
      <c s="75">
        <f>IF(ISERROR(VLOOKUP(CV284,$AL$8:$AL$15,1,FALSE))=TRUE,IF(AND(CV284=CW284,CV284&lt;&gt;"",DJ284&lt;&gt;""),IF(AND(ISERROR(FIND("NeighMkt",$CX$102))=FALSE,LEFT($CW$111,10)="ALL OUTLET"),DJ284-IF(ISERROR(VLOOKUP(CV284,$CA$113:$DK$300,36,FALSE))=TRUE,0,IF(VLOOKUP(CV284,$CA$113:$DK$300,36,FALSE)="",0,VLOOKUP(CV284,$CA$113:$DK$300,36,FALSE))),DJ284),""),"")</f>
      </c>
      <c s="76">
        <f>IF(ISERROR(VLOOKUP(CV284,$AL$8:$AL$15,1,FALSE))=TRUE,IF(CL284&lt;&gt;"",IF(CL284&gt;0,IF($Z$4&lt;&gt;"",MIN(4,RANK(CL284,$CL$111:$CL$300)),RANK(CL284,$CL$111:$CL$300)),""),""),"")</f>
      </c>
      <c s="75">
        <f>IF(ISERROR(VLOOKUP(CV284,$AL$8:$AL$15,1,FALSE))=TRUE,IF(AND(ISERROR(FIND("NeighMkt",$CX$102))=FALSE,LEFT($CW$111,10)="ALL OUTLET",$CA284&lt;&gt;"",DJ284&lt;&gt;""),"",IF(AND($CV284&lt;&gt;$CW284,$CW284=CN$110),$DJ284,"")),"")</f>
      </c>
      <c s="76">
        <f>IF(ISERROR(VLOOKUP(CV284,$AL$8:$AL$15,1,FALSE))=TRUE,IF(CN284&lt;&gt;"",IF(CN284&gt;0,RANK(CN284,$CN$111:$CN$300),""),""),"")</f>
      </c>
      <c s="75">
        <f>IF(ISERROR(VLOOKUP(CV284,$AL$8:$AL$15,1,FALSE))=TRUE,IF(AND(ISERROR(FIND("NeighMkt",$CX$102))=FALSE,LEFT($CW$111,10)="ALL OUTLET",$CA284&lt;&gt;"",DJ284&lt;&gt;""),"",IF(AND($CV284&lt;&gt;$CW284,$CW284=CP$110),$DJ284,"")),"")</f>
      </c>
      <c s="76">
        <f>IF(ISERROR(VLOOKUP(CV284,$AL$8:$AL$15,1,FALSE))=TRUE,IF(CP284&lt;&gt;"",IF(CP284&gt;0,RANK(CP284,$CP$111:$CP$300),""),""),"")</f>
      </c>
      <c s="75">
        <f>IF(ISERROR(VLOOKUP(CV284,$AL$8:$AL$15,1,FALSE))=TRUE,IF(AND(ISERROR(FIND("NeighMkt",$CX$102))=FALSE,LEFT($CW$111,10)="ALL OUTLET",$CA284&lt;&gt;"",DJ284&lt;&gt;""),"",IF(AND($CV284&lt;&gt;$CW284,$CW284=CR$110),$DJ284,"")),"")</f>
      </c>
      <c s="76">
        <f>IF(ISERROR(VLOOKUP(CV284,$AL$8:$AL$15,1,FALSE))=TRUE,IF(CR284&lt;&gt;"",IF(CR284&gt;0,RANK(CR284,$CR$111:$CR$300),""),""),"")</f>
      </c>
      <c s="75">
        <f>IF(ISERROR(VLOOKUP(CV284,$AL$8:$AL$15,1,FALSE))=TRUE,IF(AND(ISERROR(FIND("NeighMkt",$CX$102))=FALSE,LEFT($CW$111,10)="ALL OUTLET",$CA284&lt;&gt;"",DJ284&lt;&gt;""),"",IF($Z$4="",IF(AND($CV284&lt;&gt;$CW284,$CW284=CT$110),$DJ284,""),IF(AND($CV284&lt;&gt;$CW284,$CW284&lt;&gt;CN$110,$CW284&lt;&gt;CP$110,$CW284&lt;&gt;CR$110,$CW284&lt;&gt;$CV$111),$DJ284,""))),"")</f>
      </c>
      <c s="76">
        <f>IF(ISERROR(VLOOKUP(CV284,$AL$8:$AL$15,1,FALSE))=TRUE,IF(CT284&lt;&gt;"",IF(CT284&gt;0,RANK(CT284,$CT$111:$CT$300),""),""),"")</f>
      </c>
      <c s="65">
        <f t="shared" si="47"/>
      </c>
      <c s="65">
        <f t="shared" si="48"/>
      </c>
      <c s="72">
        <f>IF('[1]Leakage Tree Data'!A183&lt;&gt;"",'[1]Leakage Tree Data'!A183,"")</f>
      </c>
      <c s="72">
        <f>IF('[1]Leakage Tree Data'!B183&lt;&gt;"",'[1]Leakage Tree Data'!B183,"")</f>
      </c>
      <c s="72">
        <f>IF('[1]Leakage Tree Data'!C183&lt;&gt;"",'[1]Leakage Tree Data'!C183,"")</f>
      </c>
      <c s="72">
        <f>IF('[1]Leakage Tree Data'!D183&lt;&gt;"",'[1]Leakage Tree Data'!D183,"")</f>
      </c>
      <c s="72">
        <f>IF('[1]Leakage Tree Data'!E183&lt;&gt;"",'[1]Leakage Tree Data'!E183,"")</f>
      </c>
      <c s="72">
        <f>IF('[1]Leakage Tree Data'!F183&lt;&gt;"",'[1]Leakage Tree Data'!F183,"")</f>
      </c>
      <c s="72">
        <f>IF('[1]Leakage Tree Data'!G183&lt;&gt;"",'[1]Leakage Tree Data'!G183,"")</f>
      </c>
      <c s="72">
        <f>IF('[1]Leakage Tree Data'!H183&lt;&gt;"",'[1]Leakage Tree Data'!H183,"")</f>
      </c>
      <c s="72">
        <f>IF('[1]Leakage Tree Data'!I183&lt;&gt;"",'[1]Leakage Tree Data'!I183,"")</f>
      </c>
      <c s="72">
        <f>IF('[1]Leakage Tree Data'!J183&lt;&gt;"",'[1]Leakage Tree Data'!J183,"")</f>
      </c>
      <c s="72">
        <f>IF('[1]Leakage Tree Data'!K183&lt;&gt;"",'[1]Leakage Tree Data'!K183,"")</f>
      </c>
      <c s="72">
        <f>IF('[1]Leakage Tree Data'!L183&lt;&gt;"",'[1]Leakage Tree Data'!L183,"")</f>
      </c>
      <c s="72">
        <f>IF('[1]Leakage Tree Data'!M183&lt;&gt;"",'[1]Leakage Tree Data'!M183,"")</f>
      </c>
      <c s="72">
        <f>IF('[1]Leakage Tree Data'!N183&lt;&gt;"",'[1]Leakage Tree Data'!N183,"")</f>
      </c>
      <c s="72">
        <f>IF('[1]Leakage Tree Data'!O183&lt;&gt;"",'[1]Leakage Tree Data'!O183,"")</f>
      </c>
      <c s="72">
        <f>IF('[1]Leakage Tree Data'!P183&lt;&gt;"",'[1]Leakage Tree Data'!P183,"")</f>
      </c>
      <c s="72">
        <f>IF('[1]Leakage Tree Data'!Q183&lt;&gt;"",'[1]Leakage Tree Data'!Q183,"")</f>
      </c>
      <c s="72">
        <f>IF('[1]Leakage Tree Data'!R183&lt;&gt;"",'[1]Leakage Tree Data'!R183,"")</f>
      </c>
      <c s="72">
        <f>IF('[1]Leakage Tree Data'!S183&lt;&gt;"",'[1]Leakage Tree Data'!S183,"")</f>
      </c>
      <c s="72">
        <f>IF('[1]Leakage Tree Data'!T183&lt;&gt;"",'[1]Leakage Tree Data'!T183,"")</f>
      </c>
      <c s="72">
        <f>IF('[1]Leakage Tree Data'!U183&lt;&gt;"",'[1]Leakage Tree Data'!U183,"")</f>
      </c>
      <c s="72">
        <f>IF('[1]Leakage Tree Data'!V183&lt;&gt;"",'[1]Leakage Tree Data'!V183,"")</f>
      </c>
      <c s="72">
        <f>IF('[1]Leakage Tree Data'!W183&lt;&gt;"",'[1]Leakage Tree Data'!W183,"")</f>
      </c>
      <c s="72">
        <f>IF('[1]Leakage Tree Data'!X183&lt;&gt;"",'[1]Leakage Tree Data'!X183,"")</f>
      </c>
      <c s="72">
        <f>IF('[1]Leakage Tree Data'!Y183&lt;&gt;"",'[1]Leakage Tree Data'!Y183,"")</f>
      </c>
      <c s="72">
        <f>IF('[1]Leakage Tree Data'!Z183&lt;&gt;"",'[1]Leakage Tree Data'!Z183,"")</f>
      </c>
      <c s="72">
        <f>IF('[1]Leakage Tree Data'!AA183&lt;&gt;"",'[1]Leakage Tree Data'!AA183,"")</f>
      </c>
      <c s="72">
        <f>IF('[1]Leakage Tree Data'!AB183&lt;&gt;"",'[1]Leakage Tree Data'!AB183,"")</f>
      </c>
      <c s="72">
        <f>IF('[1]Leakage Tree Data'!AC183&lt;&gt;"",'[1]Leakage Tree Data'!AC183,"")</f>
      </c>
      <c s="72">
        <f>IF('[1]Leakage Tree Data'!AD183&lt;&gt;"",'[1]Leakage Tree Data'!AD183,"")</f>
      </c>
      <c s="72">
        <f>IF('[1]Leakage Tree Data'!AE183&lt;&gt;"",'[1]Leakage Tree Data'!AE183,"")</f>
      </c>
      <c s="73">
        <f t="shared" si="49"/>
      </c>
      <c s="73">
        <f t="shared" si="50"/>
      </c>
      <c s="73">
        <f t="shared" si="51"/>
      </c>
      <c s="73">
        <f t="shared" si="52"/>
      </c>
      <c s="74">
        <f t="shared" si="53"/>
      </c>
      <c s="74">
        <f t="shared" si="54"/>
      </c>
      <c s="69">
        <f t="shared" si="55"/>
      </c>
      <c s="69">
        <f t="shared" si="56"/>
      </c>
    </row>
    <row r="285" spans="1:140" s="92" customFormat="1" ht="15">
      <c r="A285"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285,$AL$8:$AL$15,1,FALSE))=TRUE,IF(AND(CV285=CW285,CV285&lt;&gt;"",DI$111&lt;&gt;"",DK285&lt;&gt;""),IF(CW$101="Y",DK285-IF(ISERROR(VLOOKUP(CV285,$CA$113:$DK$300,37,FALSE))=TRUE,0,IF(VLOOKUP(CV285,$CA$113:$DK$300,37,FALSE)="",0,VLOOKUP(CV285,$CA$113:$DK$300,37,FALSE))),DK285-IF(AND(CW$102="Y",CV285=$CW$111),DI$111,0)),""),"")</f>
      </c>
      <c s="76">
        <f>IF(ISERROR(VLOOKUP(CV285,$AL$8:$AL$15,1,FALSE))=TRUE,IF(CB285&lt;&gt;"",IF(CB285&gt;0,IF(Z$4&lt;&gt;"",MIN(4,RANK(CB285,$CB$111:$CB$300)),RANK(CB285,$CB$111:$CB$300)),""),""),"")</f>
      </c>
      <c s="75">
        <f>IF(ISERROR(VLOOKUP(CV285,$AL$8:$AL$15,1,FALSE))=TRUE,IF(AND(ISERROR(FIND("NeighMkt",$CX$102))=FALSE,LEFT($CW$111,10)="ALL OUTLET",$CA285&lt;&gt;"",DK285&lt;&gt;""),"",IF(AND($CV285&lt;&gt;$CW285,$CW285=CD$110),$DK285,"")),"")</f>
      </c>
      <c s="76">
        <f>IF(ISERROR(VLOOKUP(CV285,$AL$8:$AL$15,1,FALSE))=TRUE,IF(CD285&lt;&gt;"",IF(CD285&gt;0,RANK(CD285,$CD$111:$CD$300),""),""),"")</f>
      </c>
      <c s="75">
        <f>IF(ISERROR(VLOOKUP(CV285,$AL$8:$AL$15,1,FALSE))=TRUE,IF(AND(ISERROR(FIND("NeighMkt",$CX$102))=FALSE,LEFT($CW$111,10)="ALL OUTLET",$CA285&lt;&gt;"",DK285&lt;&gt;""),"",IF(AND($CV285&lt;&gt;$CW285,$CW285=CF$110),$DK285,"")),"")</f>
      </c>
      <c s="76">
        <f>IF(ISERROR(VLOOKUP(CV285,$AL$8:$AL$15,1,FALSE))=TRUE,IF(CF285&lt;&gt;"",IF(CF285&gt;0,RANK(CF285,$CF$111:$CF$300),""),""),"")</f>
      </c>
      <c s="75">
        <f>IF(ISERROR(VLOOKUP(CV285,$AL$8:$AL$15,1,FALSE))=TRUE,IF(AND(ISERROR(FIND("NeighMkt",$CX$102))=FALSE,LEFT($CW$111,10)="ALL OUTLET",$CA285&lt;&gt;"",DK285&lt;&gt;""),"",IF(AND($CV285&lt;&gt;$CW285,$CW285=CH$110),$DK285,"")),"")</f>
      </c>
      <c s="76">
        <f>IF(ISERROR(VLOOKUP(CV285,$AL$8:$AL$15,1,FALSE))=TRUE,IF(CH285&lt;&gt;"",IF(CH285&gt;0,RANK(CH285,$CH$111:$CH$300),""),""),"")</f>
      </c>
      <c s="75">
        <f>IF(ISERROR(VLOOKUP(CV285,$AL$8:$AL$15,1,FALSE))=TRUE,IF(AND(ISERROR(FIND("NeighMkt",$CX$102))=FALSE,LEFT($CW$111,10)="ALL OUTLET",$CA285&lt;&gt;"",DK285&lt;&gt;""),"",IF($Z$4="",IF(AND($CV285&lt;&gt;$CW285,$CW285=CJ$110),$DK285,""),IF(AND($CV285&lt;&gt;$CW285,$CW285&lt;&gt;CD$110,$CW285&lt;&gt;CF$110,$CW285&lt;&gt;CH$110,$CW285&lt;&gt;$CV$111),$DK285,""))),"")</f>
      </c>
      <c s="76">
        <f>IF(ISERROR(VLOOKUP(CV285,$AL$8:$AL$15,1,FALSE))=TRUE,IF(CJ285&lt;&gt;"",IF(CJ285&gt;0,RANK(CJ285,$CJ$111:$CJ$300),""),""),"")</f>
      </c>
      <c s="75">
        <f>IF(ISERROR(VLOOKUP(CV285,$AL$8:$AL$15,1,FALSE))=TRUE,IF(AND(CV285=CW285,CV285&lt;&gt;"",DJ285&lt;&gt;""),IF(AND(ISERROR(FIND("NeighMkt",$CX$102))=FALSE,LEFT($CW$111,10)="ALL OUTLET"),DJ285-IF(ISERROR(VLOOKUP(CV285,$CA$113:$DK$300,36,FALSE))=TRUE,0,IF(VLOOKUP(CV285,$CA$113:$DK$300,36,FALSE)="",0,VLOOKUP(CV285,$CA$113:$DK$300,36,FALSE))),DJ285),""),"")</f>
      </c>
      <c s="76">
        <f>IF(ISERROR(VLOOKUP(CV285,$AL$8:$AL$15,1,FALSE))=TRUE,IF(CL285&lt;&gt;"",IF(CL285&gt;0,IF($Z$4&lt;&gt;"",MIN(4,RANK(CL285,$CL$111:$CL$300)),RANK(CL285,$CL$111:$CL$300)),""),""),"")</f>
      </c>
      <c s="75">
        <f>IF(ISERROR(VLOOKUP(CV285,$AL$8:$AL$15,1,FALSE))=TRUE,IF(AND(ISERROR(FIND("NeighMkt",$CX$102))=FALSE,LEFT($CW$111,10)="ALL OUTLET",$CA285&lt;&gt;"",DJ285&lt;&gt;""),"",IF(AND($CV285&lt;&gt;$CW285,$CW285=CN$110),$DJ285,"")),"")</f>
      </c>
      <c s="76">
        <f>IF(ISERROR(VLOOKUP(CV285,$AL$8:$AL$15,1,FALSE))=TRUE,IF(CN285&lt;&gt;"",IF(CN285&gt;0,RANK(CN285,$CN$111:$CN$300),""),""),"")</f>
      </c>
      <c s="75">
        <f>IF(ISERROR(VLOOKUP(CV285,$AL$8:$AL$15,1,FALSE))=TRUE,IF(AND(ISERROR(FIND("NeighMkt",$CX$102))=FALSE,LEFT($CW$111,10)="ALL OUTLET",$CA285&lt;&gt;"",DJ285&lt;&gt;""),"",IF(AND($CV285&lt;&gt;$CW285,$CW285=CP$110),$DJ285,"")),"")</f>
      </c>
      <c s="76">
        <f>IF(ISERROR(VLOOKUP(CV285,$AL$8:$AL$15,1,FALSE))=TRUE,IF(CP285&lt;&gt;"",IF(CP285&gt;0,RANK(CP285,$CP$111:$CP$300),""),""),"")</f>
      </c>
      <c s="75">
        <f>IF(ISERROR(VLOOKUP(CV285,$AL$8:$AL$15,1,FALSE))=TRUE,IF(AND(ISERROR(FIND("NeighMkt",$CX$102))=FALSE,LEFT($CW$111,10)="ALL OUTLET",$CA285&lt;&gt;"",DJ285&lt;&gt;""),"",IF(AND($CV285&lt;&gt;$CW285,$CW285=CR$110),$DJ285,"")),"")</f>
      </c>
      <c s="76">
        <f>IF(ISERROR(VLOOKUP(CV285,$AL$8:$AL$15,1,FALSE))=TRUE,IF(CR285&lt;&gt;"",IF(CR285&gt;0,RANK(CR285,$CR$111:$CR$300),""),""),"")</f>
      </c>
      <c s="75">
        <f>IF(ISERROR(VLOOKUP(CV285,$AL$8:$AL$15,1,FALSE))=TRUE,IF(AND(ISERROR(FIND("NeighMkt",$CX$102))=FALSE,LEFT($CW$111,10)="ALL OUTLET",$CA285&lt;&gt;"",DJ285&lt;&gt;""),"",IF($Z$4="",IF(AND($CV285&lt;&gt;$CW285,$CW285=CT$110),$DJ285,""),IF(AND($CV285&lt;&gt;$CW285,$CW285&lt;&gt;CN$110,$CW285&lt;&gt;CP$110,$CW285&lt;&gt;CR$110,$CW285&lt;&gt;$CV$111),$DJ285,""))),"")</f>
      </c>
      <c s="76">
        <f>IF(ISERROR(VLOOKUP(CV285,$AL$8:$AL$15,1,FALSE))=TRUE,IF(CT285&lt;&gt;"",IF(CT285&gt;0,RANK(CT285,$CT$111:$CT$300),""),""),"")</f>
      </c>
      <c s="65">
        <f t="shared" si="47"/>
      </c>
      <c s="65">
        <f t="shared" si="48"/>
      </c>
      <c s="72">
        <f>IF('[1]Leakage Tree Data'!A184&lt;&gt;"",'[1]Leakage Tree Data'!A184,"")</f>
      </c>
      <c s="72">
        <f>IF('[1]Leakage Tree Data'!B184&lt;&gt;"",'[1]Leakage Tree Data'!B184,"")</f>
      </c>
      <c s="72">
        <f>IF('[1]Leakage Tree Data'!C184&lt;&gt;"",'[1]Leakage Tree Data'!C184,"")</f>
      </c>
      <c s="72">
        <f>IF('[1]Leakage Tree Data'!D184&lt;&gt;"",'[1]Leakage Tree Data'!D184,"")</f>
      </c>
      <c s="72">
        <f>IF('[1]Leakage Tree Data'!E184&lt;&gt;"",'[1]Leakage Tree Data'!E184,"")</f>
      </c>
      <c s="72">
        <f>IF('[1]Leakage Tree Data'!F184&lt;&gt;"",'[1]Leakage Tree Data'!F184,"")</f>
      </c>
      <c s="72">
        <f>IF('[1]Leakage Tree Data'!G184&lt;&gt;"",'[1]Leakage Tree Data'!G184,"")</f>
      </c>
      <c s="72">
        <f>IF('[1]Leakage Tree Data'!H184&lt;&gt;"",'[1]Leakage Tree Data'!H184,"")</f>
      </c>
      <c s="72">
        <f>IF('[1]Leakage Tree Data'!I184&lt;&gt;"",'[1]Leakage Tree Data'!I184,"")</f>
      </c>
      <c s="72">
        <f>IF('[1]Leakage Tree Data'!J184&lt;&gt;"",'[1]Leakage Tree Data'!J184,"")</f>
      </c>
      <c s="72">
        <f>IF('[1]Leakage Tree Data'!K184&lt;&gt;"",'[1]Leakage Tree Data'!K184,"")</f>
      </c>
      <c s="72">
        <f>IF('[1]Leakage Tree Data'!L184&lt;&gt;"",'[1]Leakage Tree Data'!L184,"")</f>
      </c>
      <c s="72">
        <f>IF('[1]Leakage Tree Data'!M184&lt;&gt;"",'[1]Leakage Tree Data'!M184,"")</f>
      </c>
      <c s="72">
        <f>IF('[1]Leakage Tree Data'!N184&lt;&gt;"",'[1]Leakage Tree Data'!N184,"")</f>
      </c>
      <c s="72">
        <f>IF('[1]Leakage Tree Data'!O184&lt;&gt;"",'[1]Leakage Tree Data'!O184,"")</f>
      </c>
      <c s="72">
        <f>IF('[1]Leakage Tree Data'!P184&lt;&gt;"",'[1]Leakage Tree Data'!P184,"")</f>
      </c>
      <c s="72">
        <f>IF('[1]Leakage Tree Data'!Q184&lt;&gt;"",'[1]Leakage Tree Data'!Q184,"")</f>
      </c>
      <c s="72">
        <f>IF('[1]Leakage Tree Data'!R184&lt;&gt;"",'[1]Leakage Tree Data'!R184,"")</f>
      </c>
      <c s="72">
        <f>IF('[1]Leakage Tree Data'!S184&lt;&gt;"",'[1]Leakage Tree Data'!S184,"")</f>
      </c>
      <c s="72">
        <f>IF('[1]Leakage Tree Data'!T184&lt;&gt;"",'[1]Leakage Tree Data'!T184,"")</f>
      </c>
      <c s="72">
        <f>IF('[1]Leakage Tree Data'!U184&lt;&gt;"",'[1]Leakage Tree Data'!U184,"")</f>
      </c>
      <c s="72">
        <f>IF('[1]Leakage Tree Data'!V184&lt;&gt;"",'[1]Leakage Tree Data'!V184,"")</f>
      </c>
      <c s="72">
        <f>IF('[1]Leakage Tree Data'!W184&lt;&gt;"",'[1]Leakage Tree Data'!W184,"")</f>
      </c>
      <c s="72">
        <f>IF('[1]Leakage Tree Data'!X184&lt;&gt;"",'[1]Leakage Tree Data'!X184,"")</f>
      </c>
      <c s="72">
        <f>IF('[1]Leakage Tree Data'!Y184&lt;&gt;"",'[1]Leakage Tree Data'!Y184,"")</f>
      </c>
      <c s="72">
        <f>IF('[1]Leakage Tree Data'!Z184&lt;&gt;"",'[1]Leakage Tree Data'!Z184,"")</f>
      </c>
      <c s="72">
        <f>IF('[1]Leakage Tree Data'!AA184&lt;&gt;"",'[1]Leakage Tree Data'!AA184,"")</f>
      </c>
      <c s="72">
        <f>IF('[1]Leakage Tree Data'!AB184&lt;&gt;"",'[1]Leakage Tree Data'!AB184,"")</f>
      </c>
      <c s="72">
        <f>IF('[1]Leakage Tree Data'!AC184&lt;&gt;"",'[1]Leakage Tree Data'!AC184,"")</f>
      </c>
      <c s="72">
        <f>IF('[1]Leakage Tree Data'!AD184&lt;&gt;"",'[1]Leakage Tree Data'!AD184,"")</f>
      </c>
      <c s="72">
        <f>IF('[1]Leakage Tree Data'!AE184&lt;&gt;"",'[1]Leakage Tree Data'!AE184,"")</f>
      </c>
      <c s="73">
        <f t="shared" si="49"/>
      </c>
      <c s="73">
        <f t="shared" si="50"/>
      </c>
      <c s="73">
        <f t="shared" si="51"/>
      </c>
      <c s="73">
        <f t="shared" si="52"/>
      </c>
      <c s="74">
        <f t="shared" si="53"/>
      </c>
      <c s="74">
        <f t="shared" si="54"/>
      </c>
      <c s="69">
        <f t="shared" si="55"/>
      </c>
      <c s="69">
        <f t="shared" si="56"/>
      </c>
    </row>
    <row r="286" spans="1:140" s="92" customFormat="1" ht="15">
      <c r="A286"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286,$AL$8:$AL$15,1,FALSE))=TRUE,IF(AND(CV286=CW286,CV286&lt;&gt;"",DI$111&lt;&gt;"",DK286&lt;&gt;""),IF(CW$101="Y",DK286-IF(ISERROR(VLOOKUP(CV286,$CA$113:$DK$300,37,FALSE))=TRUE,0,IF(VLOOKUP(CV286,$CA$113:$DK$300,37,FALSE)="",0,VLOOKUP(CV286,$CA$113:$DK$300,37,FALSE))),DK286-IF(AND(CW$102="Y",CV286=$CW$111),DI$111,0)),""),"")</f>
      </c>
      <c s="76">
        <f>IF(ISERROR(VLOOKUP(CV286,$AL$8:$AL$15,1,FALSE))=TRUE,IF(CB286&lt;&gt;"",IF(CB286&gt;0,IF(Z$4&lt;&gt;"",MIN(4,RANK(CB286,$CB$111:$CB$300)),RANK(CB286,$CB$111:$CB$300)),""),""),"")</f>
      </c>
      <c s="75">
        <f>IF(ISERROR(VLOOKUP(CV286,$AL$8:$AL$15,1,FALSE))=TRUE,IF(AND(ISERROR(FIND("NeighMkt",$CX$102))=FALSE,LEFT($CW$111,10)="ALL OUTLET",$CA286&lt;&gt;"",DK286&lt;&gt;""),"",IF(AND($CV286&lt;&gt;$CW286,$CW286=CD$110),$DK286,"")),"")</f>
      </c>
      <c s="76">
        <f>IF(ISERROR(VLOOKUP(CV286,$AL$8:$AL$15,1,FALSE))=TRUE,IF(CD286&lt;&gt;"",IF(CD286&gt;0,RANK(CD286,$CD$111:$CD$300),""),""),"")</f>
      </c>
      <c s="75">
        <f>IF(ISERROR(VLOOKUP(CV286,$AL$8:$AL$15,1,FALSE))=TRUE,IF(AND(ISERROR(FIND("NeighMkt",$CX$102))=FALSE,LEFT($CW$111,10)="ALL OUTLET",$CA286&lt;&gt;"",DK286&lt;&gt;""),"",IF(AND($CV286&lt;&gt;$CW286,$CW286=CF$110),$DK286,"")),"")</f>
      </c>
      <c s="76">
        <f>IF(ISERROR(VLOOKUP(CV286,$AL$8:$AL$15,1,FALSE))=TRUE,IF(CF286&lt;&gt;"",IF(CF286&gt;0,RANK(CF286,$CF$111:$CF$300),""),""),"")</f>
      </c>
      <c s="75">
        <f>IF(ISERROR(VLOOKUP(CV286,$AL$8:$AL$15,1,FALSE))=TRUE,IF(AND(ISERROR(FIND("NeighMkt",$CX$102))=FALSE,LEFT($CW$111,10)="ALL OUTLET",$CA286&lt;&gt;"",DK286&lt;&gt;""),"",IF(AND($CV286&lt;&gt;$CW286,$CW286=CH$110),$DK286,"")),"")</f>
      </c>
      <c s="76">
        <f>IF(ISERROR(VLOOKUP(CV286,$AL$8:$AL$15,1,FALSE))=TRUE,IF(CH286&lt;&gt;"",IF(CH286&gt;0,RANK(CH286,$CH$111:$CH$300),""),""),"")</f>
      </c>
      <c s="75">
        <f>IF(ISERROR(VLOOKUP(CV286,$AL$8:$AL$15,1,FALSE))=TRUE,IF(AND(ISERROR(FIND("NeighMkt",$CX$102))=FALSE,LEFT($CW$111,10)="ALL OUTLET",$CA286&lt;&gt;"",DK286&lt;&gt;""),"",IF($Z$4="",IF(AND($CV286&lt;&gt;$CW286,$CW286=CJ$110),$DK286,""),IF(AND($CV286&lt;&gt;$CW286,$CW286&lt;&gt;CD$110,$CW286&lt;&gt;CF$110,$CW286&lt;&gt;CH$110,$CW286&lt;&gt;$CV$111),$DK286,""))),"")</f>
      </c>
      <c s="76">
        <f>IF(ISERROR(VLOOKUP(CV286,$AL$8:$AL$15,1,FALSE))=TRUE,IF(CJ286&lt;&gt;"",IF(CJ286&gt;0,RANK(CJ286,$CJ$111:$CJ$300),""),""),"")</f>
      </c>
      <c s="75">
        <f>IF(ISERROR(VLOOKUP(CV286,$AL$8:$AL$15,1,FALSE))=TRUE,IF(AND(CV286=CW286,CV286&lt;&gt;"",DJ286&lt;&gt;""),IF(AND(ISERROR(FIND("NeighMkt",$CX$102))=FALSE,LEFT($CW$111,10)="ALL OUTLET"),DJ286-IF(ISERROR(VLOOKUP(CV286,$CA$113:$DK$300,36,FALSE))=TRUE,0,IF(VLOOKUP(CV286,$CA$113:$DK$300,36,FALSE)="",0,VLOOKUP(CV286,$CA$113:$DK$300,36,FALSE))),DJ286),""),"")</f>
      </c>
      <c s="76">
        <f>IF(ISERROR(VLOOKUP(CV286,$AL$8:$AL$15,1,FALSE))=TRUE,IF(CL286&lt;&gt;"",IF(CL286&gt;0,IF($Z$4&lt;&gt;"",MIN(4,RANK(CL286,$CL$111:$CL$300)),RANK(CL286,$CL$111:$CL$300)),""),""),"")</f>
      </c>
      <c s="75">
        <f>IF(ISERROR(VLOOKUP(CV286,$AL$8:$AL$15,1,FALSE))=TRUE,IF(AND(ISERROR(FIND("NeighMkt",$CX$102))=FALSE,LEFT($CW$111,10)="ALL OUTLET",$CA286&lt;&gt;"",DJ286&lt;&gt;""),"",IF(AND($CV286&lt;&gt;$CW286,$CW286=CN$110),$DJ286,"")),"")</f>
      </c>
      <c s="76">
        <f>IF(ISERROR(VLOOKUP(CV286,$AL$8:$AL$15,1,FALSE))=TRUE,IF(CN286&lt;&gt;"",IF(CN286&gt;0,RANK(CN286,$CN$111:$CN$300),""),""),"")</f>
      </c>
      <c s="75">
        <f>IF(ISERROR(VLOOKUP(CV286,$AL$8:$AL$15,1,FALSE))=TRUE,IF(AND(ISERROR(FIND("NeighMkt",$CX$102))=FALSE,LEFT($CW$111,10)="ALL OUTLET",$CA286&lt;&gt;"",DJ286&lt;&gt;""),"",IF(AND($CV286&lt;&gt;$CW286,$CW286=CP$110),$DJ286,"")),"")</f>
      </c>
      <c s="76">
        <f>IF(ISERROR(VLOOKUP(CV286,$AL$8:$AL$15,1,FALSE))=TRUE,IF(CP286&lt;&gt;"",IF(CP286&gt;0,RANK(CP286,$CP$111:$CP$300),""),""),"")</f>
      </c>
      <c s="75">
        <f>IF(ISERROR(VLOOKUP(CV286,$AL$8:$AL$15,1,FALSE))=TRUE,IF(AND(ISERROR(FIND("NeighMkt",$CX$102))=FALSE,LEFT($CW$111,10)="ALL OUTLET",$CA286&lt;&gt;"",DJ286&lt;&gt;""),"",IF(AND($CV286&lt;&gt;$CW286,$CW286=CR$110),$DJ286,"")),"")</f>
      </c>
      <c s="76">
        <f>IF(ISERROR(VLOOKUP(CV286,$AL$8:$AL$15,1,FALSE))=TRUE,IF(CR286&lt;&gt;"",IF(CR286&gt;0,RANK(CR286,$CR$111:$CR$300),""),""),"")</f>
      </c>
      <c s="75">
        <f>IF(ISERROR(VLOOKUP(CV286,$AL$8:$AL$15,1,FALSE))=TRUE,IF(AND(ISERROR(FIND("NeighMkt",$CX$102))=FALSE,LEFT($CW$111,10)="ALL OUTLET",$CA286&lt;&gt;"",DJ286&lt;&gt;""),"",IF($Z$4="",IF(AND($CV286&lt;&gt;$CW286,$CW286=CT$110),$DJ286,""),IF(AND($CV286&lt;&gt;$CW286,$CW286&lt;&gt;CN$110,$CW286&lt;&gt;CP$110,$CW286&lt;&gt;CR$110,$CW286&lt;&gt;$CV$111),$DJ286,""))),"")</f>
      </c>
      <c s="76">
        <f>IF(ISERROR(VLOOKUP(CV286,$AL$8:$AL$15,1,FALSE))=TRUE,IF(CT286&lt;&gt;"",IF(CT286&gt;0,RANK(CT286,$CT$111:$CT$300),""),""),"")</f>
      </c>
      <c s="65">
        <f t="shared" si="47"/>
      </c>
      <c s="65">
        <f t="shared" si="48"/>
      </c>
      <c s="72">
        <f>IF('[1]Leakage Tree Data'!A185&lt;&gt;"",'[1]Leakage Tree Data'!A185,"")</f>
      </c>
      <c s="72">
        <f>IF('[1]Leakage Tree Data'!B185&lt;&gt;"",'[1]Leakage Tree Data'!B185,"")</f>
      </c>
      <c s="72">
        <f>IF('[1]Leakage Tree Data'!C185&lt;&gt;"",'[1]Leakage Tree Data'!C185,"")</f>
      </c>
      <c s="72">
        <f>IF('[1]Leakage Tree Data'!D185&lt;&gt;"",'[1]Leakage Tree Data'!D185,"")</f>
      </c>
      <c s="72">
        <f>IF('[1]Leakage Tree Data'!E185&lt;&gt;"",'[1]Leakage Tree Data'!E185,"")</f>
      </c>
      <c s="72">
        <f>IF('[1]Leakage Tree Data'!F185&lt;&gt;"",'[1]Leakage Tree Data'!F185,"")</f>
      </c>
      <c s="72">
        <f>IF('[1]Leakage Tree Data'!G185&lt;&gt;"",'[1]Leakage Tree Data'!G185,"")</f>
      </c>
      <c s="72">
        <f>IF('[1]Leakage Tree Data'!H185&lt;&gt;"",'[1]Leakage Tree Data'!H185,"")</f>
      </c>
      <c s="72">
        <f>IF('[1]Leakage Tree Data'!I185&lt;&gt;"",'[1]Leakage Tree Data'!I185,"")</f>
      </c>
      <c s="72">
        <f>IF('[1]Leakage Tree Data'!J185&lt;&gt;"",'[1]Leakage Tree Data'!J185,"")</f>
      </c>
      <c s="72">
        <f>IF('[1]Leakage Tree Data'!K185&lt;&gt;"",'[1]Leakage Tree Data'!K185,"")</f>
      </c>
      <c s="72">
        <f>IF('[1]Leakage Tree Data'!L185&lt;&gt;"",'[1]Leakage Tree Data'!L185,"")</f>
      </c>
      <c s="72">
        <f>IF('[1]Leakage Tree Data'!M185&lt;&gt;"",'[1]Leakage Tree Data'!M185,"")</f>
      </c>
      <c s="72">
        <f>IF('[1]Leakage Tree Data'!N185&lt;&gt;"",'[1]Leakage Tree Data'!N185,"")</f>
      </c>
      <c s="72">
        <f>IF('[1]Leakage Tree Data'!O185&lt;&gt;"",'[1]Leakage Tree Data'!O185,"")</f>
      </c>
      <c s="72">
        <f>IF('[1]Leakage Tree Data'!P185&lt;&gt;"",'[1]Leakage Tree Data'!P185,"")</f>
      </c>
      <c s="72">
        <f>IF('[1]Leakage Tree Data'!Q185&lt;&gt;"",'[1]Leakage Tree Data'!Q185,"")</f>
      </c>
      <c s="72">
        <f>IF('[1]Leakage Tree Data'!R185&lt;&gt;"",'[1]Leakage Tree Data'!R185,"")</f>
      </c>
      <c s="72">
        <f>IF('[1]Leakage Tree Data'!S185&lt;&gt;"",'[1]Leakage Tree Data'!S185,"")</f>
      </c>
      <c s="72">
        <f>IF('[1]Leakage Tree Data'!T185&lt;&gt;"",'[1]Leakage Tree Data'!T185,"")</f>
      </c>
      <c s="72">
        <f>IF('[1]Leakage Tree Data'!U185&lt;&gt;"",'[1]Leakage Tree Data'!U185,"")</f>
      </c>
      <c s="72">
        <f>IF('[1]Leakage Tree Data'!V185&lt;&gt;"",'[1]Leakage Tree Data'!V185,"")</f>
      </c>
      <c s="72">
        <f>IF('[1]Leakage Tree Data'!W185&lt;&gt;"",'[1]Leakage Tree Data'!W185,"")</f>
      </c>
      <c s="72">
        <f>IF('[1]Leakage Tree Data'!X185&lt;&gt;"",'[1]Leakage Tree Data'!X185,"")</f>
      </c>
      <c s="72">
        <f>IF('[1]Leakage Tree Data'!Y185&lt;&gt;"",'[1]Leakage Tree Data'!Y185,"")</f>
      </c>
      <c s="72">
        <f>IF('[1]Leakage Tree Data'!Z185&lt;&gt;"",'[1]Leakage Tree Data'!Z185,"")</f>
      </c>
      <c s="72">
        <f>IF('[1]Leakage Tree Data'!AA185&lt;&gt;"",'[1]Leakage Tree Data'!AA185,"")</f>
      </c>
      <c s="72">
        <f>IF('[1]Leakage Tree Data'!AB185&lt;&gt;"",'[1]Leakage Tree Data'!AB185,"")</f>
      </c>
      <c s="72">
        <f>IF('[1]Leakage Tree Data'!AC185&lt;&gt;"",'[1]Leakage Tree Data'!AC185,"")</f>
      </c>
      <c s="72">
        <f>IF('[1]Leakage Tree Data'!AD185&lt;&gt;"",'[1]Leakage Tree Data'!AD185,"")</f>
      </c>
      <c s="72">
        <f>IF('[1]Leakage Tree Data'!AE185&lt;&gt;"",'[1]Leakage Tree Data'!AE185,"")</f>
      </c>
      <c s="73">
        <f t="shared" si="49"/>
      </c>
      <c s="73">
        <f t="shared" si="50"/>
      </c>
      <c s="73">
        <f t="shared" si="51"/>
      </c>
      <c s="73">
        <f t="shared" si="52"/>
      </c>
      <c s="74">
        <f t="shared" si="53"/>
      </c>
      <c s="74">
        <f t="shared" si="54"/>
      </c>
      <c s="69">
        <f t="shared" si="55"/>
      </c>
      <c s="69">
        <f t="shared" si="56"/>
      </c>
    </row>
    <row r="287" spans="1:140" s="92" customFormat="1" ht="15">
      <c r="A287"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287,$AL$8:$AL$15,1,FALSE))=TRUE,IF(AND(CV287=CW287,CV287&lt;&gt;"",DI$111&lt;&gt;"",DK287&lt;&gt;""),IF(CW$101="Y",DK287-IF(ISERROR(VLOOKUP(CV287,$CA$113:$DK$300,37,FALSE))=TRUE,0,IF(VLOOKUP(CV287,$CA$113:$DK$300,37,FALSE)="",0,VLOOKUP(CV287,$CA$113:$DK$300,37,FALSE))),DK287-IF(AND(CW$102="Y",CV287=$CW$111),DI$111,0)),""),"")</f>
      </c>
      <c s="76">
        <f>IF(ISERROR(VLOOKUP(CV287,$AL$8:$AL$15,1,FALSE))=TRUE,IF(CB287&lt;&gt;"",IF(CB287&gt;0,IF(Z$4&lt;&gt;"",MIN(4,RANK(CB287,$CB$111:$CB$300)),RANK(CB287,$CB$111:$CB$300)),""),""),"")</f>
      </c>
      <c s="75">
        <f>IF(ISERROR(VLOOKUP(CV287,$AL$8:$AL$15,1,FALSE))=TRUE,IF(AND(ISERROR(FIND("NeighMkt",$CX$102))=FALSE,LEFT($CW$111,10)="ALL OUTLET",$CA287&lt;&gt;"",DK287&lt;&gt;""),"",IF(AND($CV287&lt;&gt;$CW287,$CW287=CD$110),$DK287,"")),"")</f>
      </c>
      <c s="76">
        <f>IF(ISERROR(VLOOKUP(CV287,$AL$8:$AL$15,1,FALSE))=TRUE,IF(CD287&lt;&gt;"",IF(CD287&gt;0,RANK(CD287,$CD$111:$CD$300),""),""),"")</f>
      </c>
      <c s="75">
        <f>IF(ISERROR(VLOOKUP(CV287,$AL$8:$AL$15,1,FALSE))=TRUE,IF(AND(ISERROR(FIND("NeighMkt",$CX$102))=FALSE,LEFT($CW$111,10)="ALL OUTLET",$CA287&lt;&gt;"",DK287&lt;&gt;""),"",IF(AND($CV287&lt;&gt;$CW287,$CW287=CF$110),$DK287,"")),"")</f>
      </c>
      <c s="76">
        <f>IF(ISERROR(VLOOKUP(CV287,$AL$8:$AL$15,1,FALSE))=TRUE,IF(CF287&lt;&gt;"",IF(CF287&gt;0,RANK(CF287,$CF$111:$CF$300),""),""),"")</f>
      </c>
      <c s="75">
        <f>IF(ISERROR(VLOOKUP(CV287,$AL$8:$AL$15,1,FALSE))=TRUE,IF(AND(ISERROR(FIND("NeighMkt",$CX$102))=FALSE,LEFT($CW$111,10)="ALL OUTLET",$CA287&lt;&gt;"",DK287&lt;&gt;""),"",IF(AND($CV287&lt;&gt;$CW287,$CW287=CH$110),$DK287,"")),"")</f>
      </c>
      <c s="76">
        <f>IF(ISERROR(VLOOKUP(CV287,$AL$8:$AL$15,1,FALSE))=TRUE,IF(CH287&lt;&gt;"",IF(CH287&gt;0,RANK(CH287,$CH$111:$CH$300),""),""),"")</f>
      </c>
      <c s="75">
        <f>IF(ISERROR(VLOOKUP(CV287,$AL$8:$AL$15,1,FALSE))=TRUE,IF(AND(ISERROR(FIND("NeighMkt",$CX$102))=FALSE,LEFT($CW$111,10)="ALL OUTLET",$CA287&lt;&gt;"",DK287&lt;&gt;""),"",IF($Z$4="",IF(AND($CV287&lt;&gt;$CW287,$CW287=CJ$110),$DK287,""),IF(AND($CV287&lt;&gt;$CW287,$CW287&lt;&gt;CD$110,$CW287&lt;&gt;CF$110,$CW287&lt;&gt;CH$110,$CW287&lt;&gt;$CV$111),$DK287,""))),"")</f>
      </c>
      <c s="76">
        <f>IF(ISERROR(VLOOKUP(CV287,$AL$8:$AL$15,1,FALSE))=TRUE,IF(CJ287&lt;&gt;"",IF(CJ287&gt;0,RANK(CJ287,$CJ$111:$CJ$300),""),""),"")</f>
      </c>
      <c s="75">
        <f>IF(ISERROR(VLOOKUP(CV287,$AL$8:$AL$15,1,FALSE))=TRUE,IF(AND(CV287=CW287,CV287&lt;&gt;"",DJ287&lt;&gt;""),IF(AND(ISERROR(FIND("NeighMkt",$CX$102))=FALSE,LEFT($CW$111,10)="ALL OUTLET"),DJ287-IF(ISERROR(VLOOKUP(CV287,$CA$113:$DK$300,36,FALSE))=TRUE,0,IF(VLOOKUP(CV287,$CA$113:$DK$300,36,FALSE)="",0,VLOOKUP(CV287,$CA$113:$DK$300,36,FALSE))),DJ287),""),"")</f>
      </c>
      <c s="76">
        <f>IF(ISERROR(VLOOKUP(CV287,$AL$8:$AL$15,1,FALSE))=TRUE,IF(CL287&lt;&gt;"",IF(CL287&gt;0,IF($Z$4&lt;&gt;"",MIN(4,RANK(CL287,$CL$111:$CL$300)),RANK(CL287,$CL$111:$CL$300)),""),""),"")</f>
      </c>
      <c s="75">
        <f>IF(ISERROR(VLOOKUP(CV287,$AL$8:$AL$15,1,FALSE))=TRUE,IF(AND(ISERROR(FIND("NeighMkt",$CX$102))=FALSE,LEFT($CW$111,10)="ALL OUTLET",$CA287&lt;&gt;"",DJ287&lt;&gt;""),"",IF(AND($CV287&lt;&gt;$CW287,$CW287=CN$110),$DJ287,"")),"")</f>
      </c>
      <c s="76">
        <f>IF(ISERROR(VLOOKUP(CV287,$AL$8:$AL$15,1,FALSE))=TRUE,IF(CN287&lt;&gt;"",IF(CN287&gt;0,RANK(CN287,$CN$111:$CN$300),""),""),"")</f>
      </c>
      <c s="75">
        <f>IF(ISERROR(VLOOKUP(CV287,$AL$8:$AL$15,1,FALSE))=TRUE,IF(AND(ISERROR(FIND("NeighMkt",$CX$102))=FALSE,LEFT($CW$111,10)="ALL OUTLET",$CA287&lt;&gt;"",DJ287&lt;&gt;""),"",IF(AND($CV287&lt;&gt;$CW287,$CW287=CP$110),$DJ287,"")),"")</f>
      </c>
      <c s="76">
        <f>IF(ISERROR(VLOOKUP(CV287,$AL$8:$AL$15,1,FALSE))=TRUE,IF(CP287&lt;&gt;"",IF(CP287&gt;0,RANK(CP287,$CP$111:$CP$300),""),""),"")</f>
      </c>
      <c s="75">
        <f>IF(ISERROR(VLOOKUP(CV287,$AL$8:$AL$15,1,FALSE))=TRUE,IF(AND(ISERROR(FIND("NeighMkt",$CX$102))=FALSE,LEFT($CW$111,10)="ALL OUTLET",$CA287&lt;&gt;"",DJ287&lt;&gt;""),"",IF(AND($CV287&lt;&gt;$CW287,$CW287=CR$110),$DJ287,"")),"")</f>
      </c>
      <c s="76">
        <f>IF(ISERROR(VLOOKUP(CV287,$AL$8:$AL$15,1,FALSE))=TRUE,IF(CR287&lt;&gt;"",IF(CR287&gt;0,RANK(CR287,$CR$111:$CR$300),""),""),"")</f>
      </c>
      <c s="75">
        <f>IF(ISERROR(VLOOKUP(CV287,$AL$8:$AL$15,1,FALSE))=TRUE,IF(AND(ISERROR(FIND("NeighMkt",$CX$102))=FALSE,LEFT($CW$111,10)="ALL OUTLET",$CA287&lt;&gt;"",DJ287&lt;&gt;""),"",IF($Z$4="",IF(AND($CV287&lt;&gt;$CW287,$CW287=CT$110),$DJ287,""),IF(AND($CV287&lt;&gt;$CW287,$CW287&lt;&gt;CN$110,$CW287&lt;&gt;CP$110,$CW287&lt;&gt;CR$110,$CW287&lt;&gt;$CV$111),$DJ287,""))),"")</f>
      </c>
      <c s="76">
        <f>IF(ISERROR(VLOOKUP(CV287,$AL$8:$AL$15,1,FALSE))=TRUE,IF(CT287&lt;&gt;"",IF(CT287&gt;0,RANK(CT287,$CT$111:$CT$300),""),""),"")</f>
      </c>
      <c s="65">
        <f t="shared" si="47"/>
      </c>
      <c s="65">
        <f t="shared" si="48"/>
      </c>
      <c s="72">
        <f>IF('[1]Leakage Tree Data'!A186&lt;&gt;"",'[1]Leakage Tree Data'!A186,"")</f>
      </c>
      <c s="72">
        <f>IF('[1]Leakage Tree Data'!B186&lt;&gt;"",'[1]Leakage Tree Data'!B186,"")</f>
      </c>
      <c s="72">
        <f>IF('[1]Leakage Tree Data'!C186&lt;&gt;"",'[1]Leakage Tree Data'!C186,"")</f>
      </c>
      <c s="72">
        <f>IF('[1]Leakage Tree Data'!D186&lt;&gt;"",'[1]Leakage Tree Data'!D186,"")</f>
      </c>
      <c s="72">
        <f>IF('[1]Leakage Tree Data'!E186&lt;&gt;"",'[1]Leakage Tree Data'!E186,"")</f>
      </c>
      <c s="72">
        <f>IF('[1]Leakage Tree Data'!F186&lt;&gt;"",'[1]Leakage Tree Data'!F186,"")</f>
      </c>
      <c s="72">
        <f>IF('[1]Leakage Tree Data'!G186&lt;&gt;"",'[1]Leakage Tree Data'!G186,"")</f>
      </c>
      <c s="72">
        <f>IF('[1]Leakage Tree Data'!H186&lt;&gt;"",'[1]Leakage Tree Data'!H186,"")</f>
      </c>
      <c s="72">
        <f>IF('[1]Leakage Tree Data'!I186&lt;&gt;"",'[1]Leakage Tree Data'!I186,"")</f>
      </c>
      <c s="72">
        <f>IF('[1]Leakage Tree Data'!J186&lt;&gt;"",'[1]Leakage Tree Data'!J186,"")</f>
      </c>
      <c s="72">
        <f>IF('[1]Leakage Tree Data'!K186&lt;&gt;"",'[1]Leakage Tree Data'!K186,"")</f>
      </c>
      <c s="72">
        <f>IF('[1]Leakage Tree Data'!L186&lt;&gt;"",'[1]Leakage Tree Data'!L186,"")</f>
      </c>
      <c s="72">
        <f>IF('[1]Leakage Tree Data'!M186&lt;&gt;"",'[1]Leakage Tree Data'!M186,"")</f>
      </c>
      <c s="72">
        <f>IF('[1]Leakage Tree Data'!N186&lt;&gt;"",'[1]Leakage Tree Data'!N186,"")</f>
      </c>
      <c s="72">
        <f>IF('[1]Leakage Tree Data'!O186&lt;&gt;"",'[1]Leakage Tree Data'!O186,"")</f>
      </c>
      <c s="72">
        <f>IF('[1]Leakage Tree Data'!P186&lt;&gt;"",'[1]Leakage Tree Data'!P186,"")</f>
      </c>
      <c s="72">
        <f>IF('[1]Leakage Tree Data'!Q186&lt;&gt;"",'[1]Leakage Tree Data'!Q186,"")</f>
      </c>
      <c s="72">
        <f>IF('[1]Leakage Tree Data'!R186&lt;&gt;"",'[1]Leakage Tree Data'!R186,"")</f>
      </c>
      <c s="72">
        <f>IF('[1]Leakage Tree Data'!S186&lt;&gt;"",'[1]Leakage Tree Data'!S186,"")</f>
      </c>
      <c s="72">
        <f>IF('[1]Leakage Tree Data'!T186&lt;&gt;"",'[1]Leakage Tree Data'!T186,"")</f>
      </c>
      <c s="72">
        <f>IF('[1]Leakage Tree Data'!U186&lt;&gt;"",'[1]Leakage Tree Data'!U186,"")</f>
      </c>
      <c s="72">
        <f>IF('[1]Leakage Tree Data'!V186&lt;&gt;"",'[1]Leakage Tree Data'!V186,"")</f>
      </c>
      <c s="72">
        <f>IF('[1]Leakage Tree Data'!W186&lt;&gt;"",'[1]Leakage Tree Data'!W186,"")</f>
      </c>
      <c s="72">
        <f>IF('[1]Leakage Tree Data'!X186&lt;&gt;"",'[1]Leakage Tree Data'!X186,"")</f>
      </c>
      <c s="72">
        <f>IF('[1]Leakage Tree Data'!Y186&lt;&gt;"",'[1]Leakage Tree Data'!Y186,"")</f>
      </c>
      <c s="72">
        <f>IF('[1]Leakage Tree Data'!Z186&lt;&gt;"",'[1]Leakage Tree Data'!Z186,"")</f>
      </c>
      <c s="72">
        <f>IF('[1]Leakage Tree Data'!AA186&lt;&gt;"",'[1]Leakage Tree Data'!AA186,"")</f>
      </c>
      <c s="72">
        <f>IF('[1]Leakage Tree Data'!AB186&lt;&gt;"",'[1]Leakage Tree Data'!AB186,"")</f>
      </c>
      <c s="72">
        <f>IF('[1]Leakage Tree Data'!AC186&lt;&gt;"",'[1]Leakage Tree Data'!AC186,"")</f>
      </c>
      <c s="72">
        <f>IF('[1]Leakage Tree Data'!AD186&lt;&gt;"",'[1]Leakage Tree Data'!AD186,"")</f>
      </c>
      <c s="72">
        <f>IF('[1]Leakage Tree Data'!AE186&lt;&gt;"",'[1]Leakage Tree Data'!AE186,"")</f>
      </c>
      <c s="73">
        <f t="shared" si="49"/>
      </c>
      <c s="73">
        <f t="shared" si="50"/>
      </c>
      <c s="73">
        <f t="shared" si="51"/>
      </c>
      <c s="73">
        <f t="shared" si="52"/>
      </c>
      <c s="74">
        <f t="shared" si="53"/>
      </c>
      <c s="74">
        <f t="shared" si="54"/>
      </c>
      <c s="69">
        <f t="shared" si="55"/>
      </c>
      <c s="69">
        <f t="shared" si="56"/>
      </c>
    </row>
    <row r="288" spans="1:140" s="92" customFormat="1" ht="15">
      <c r="A288"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288,$AL$8:$AL$15,1,FALSE))=TRUE,IF(AND(CV288=CW288,CV288&lt;&gt;"",DI$111&lt;&gt;"",DK288&lt;&gt;""),IF(CW$101="Y",DK288-IF(ISERROR(VLOOKUP(CV288,$CA$113:$DK$300,37,FALSE))=TRUE,0,IF(VLOOKUP(CV288,$CA$113:$DK$300,37,FALSE)="",0,VLOOKUP(CV288,$CA$113:$DK$300,37,FALSE))),DK288-IF(AND(CW$102="Y",CV288=$CW$111),DI$111,0)),""),"")</f>
      </c>
      <c s="76">
        <f>IF(ISERROR(VLOOKUP(CV288,$AL$8:$AL$15,1,FALSE))=TRUE,IF(CB288&lt;&gt;"",IF(CB288&gt;0,IF(Z$4&lt;&gt;"",MIN(4,RANK(CB288,$CB$111:$CB$300)),RANK(CB288,$CB$111:$CB$300)),""),""),"")</f>
      </c>
      <c s="75">
        <f>IF(ISERROR(VLOOKUP(CV288,$AL$8:$AL$15,1,FALSE))=TRUE,IF(AND(ISERROR(FIND("NeighMkt",$CX$102))=FALSE,LEFT($CW$111,10)="ALL OUTLET",$CA288&lt;&gt;"",DK288&lt;&gt;""),"",IF(AND($CV288&lt;&gt;$CW288,$CW288=CD$110),$DK288,"")),"")</f>
      </c>
      <c s="76">
        <f>IF(ISERROR(VLOOKUP(CV288,$AL$8:$AL$15,1,FALSE))=TRUE,IF(CD288&lt;&gt;"",IF(CD288&gt;0,RANK(CD288,$CD$111:$CD$300),""),""),"")</f>
      </c>
      <c s="75">
        <f>IF(ISERROR(VLOOKUP(CV288,$AL$8:$AL$15,1,FALSE))=TRUE,IF(AND(ISERROR(FIND("NeighMkt",$CX$102))=FALSE,LEFT($CW$111,10)="ALL OUTLET",$CA288&lt;&gt;"",DK288&lt;&gt;""),"",IF(AND($CV288&lt;&gt;$CW288,$CW288=CF$110),$DK288,"")),"")</f>
      </c>
      <c s="76">
        <f>IF(ISERROR(VLOOKUP(CV288,$AL$8:$AL$15,1,FALSE))=TRUE,IF(CF288&lt;&gt;"",IF(CF288&gt;0,RANK(CF288,$CF$111:$CF$300),""),""),"")</f>
      </c>
      <c s="75">
        <f>IF(ISERROR(VLOOKUP(CV288,$AL$8:$AL$15,1,FALSE))=TRUE,IF(AND(ISERROR(FIND("NeighMkt",$CX$102))=FALSE,LEFT($CW$111,10)="ALL OUTLET",$CA288&lt;&gt;"",DK288&lt;&gt;""),"",IF(AND($CV288&lt;&gt;$CW288,$CW288=CH$110),$DK288,"")),"")</f>
      </c>
      <c s="76">
        <f>IF(ISERROR(VLOOKUP(CV288,$AL$8:$AL$15,1,FALSE))=TRUE,IF(CH288&lt;&gt;"",IF(CH288&gt;0,RANK(CH288,$CH$111:$CH$300),""),""),"")</f>
      </c>
      <c s="75">
        <f>IF(ISERROR(VLOOKUP(CV288,$AL$8:$AL$15,1,FALSE))=TRUE,IF(AND(ISERROR(FIND("NeighMkt",$CX$102))=FALSE,LEFT($CW$111,10)="ALL OUTLET",$CA288&lt;&gt;"",DK288&lt;&gt;""),"",IF($Z$4="",IF(AND($CV288&lt;&gt;$CW288,$CW288=CJ$110),$DK288,""),IF(AND($CV288&lt;&gt;$CW288,$CW288&lt;&gt;CD$110,$CW288&lt;&gt;CF$110,$CW288&lt;&gt;CH$110,$CW288&lt;&gt;$CV$111),$DK288,""))),"")</f>
      </c>
      <c s="76">
        <f>IF(ISERROR(VLOOKUP(CV288,$AL$8:$AL$15,1,FALSE))=TRUE,IF(CJ288&lt;&gt;"",IF(CJ288&gt;0,RANK(CJ288,$CJ$111:$CJ$300),""),""),"")</f>
      </c>
      <c s="75">
        <f>IF(ISERROR(VLOOKUP(CV288,$AL$8:$AL$15,1,FALSE))=TRUE,IF(AND(CV288=CW288,CV288&lt;&gt;"",DJ288&lt;&gt;""),IF(AND(ISERROR(FIND("NeighMkt",$CX$102))=FALSE,LEFT($CW$111,10)="ALL OUTLET"),DJ288-IF(ISERROR(VLOOKUP(CV288,$CA$113:$DK$300,36,FALSE))=TRUE,0,IF(VLOOKUP(CV288,$CA$113:$DK$300,36,FALSE)="",0,VLOOKUP(CV288,$CA$113:$DK$300,36,FALSE))),DJ288),""),"")</f>
      </c>
      <c s="76">
        <f>IF(ISERROR(VLOOKUP(CV288,$AL$8:$AL$15,1,FALSE))=TRUE,IF(CL288&lt;&gt;"",IF(CL288&gt;0,IF($Z$4&lt;&gt;"",MIN(4,RANK(CL288,$CL$111:$CL$300)),RANK(CL288,$CL$111:$CL$300)),""),""),"")</f>
      </c>
      <c s="75">
        <f>IF(ISERROR(VLOOKUP(CV288,$AL$8:$AL$15,1,FALSE))=TRUE,IF(AND(ISERROR(FIND("NeighMkt",$CX$102))=FALSE,LEFT($CW$111,10)="ALL OUTLET",$CA288&lt;&gt;"",DJ288&lt;&gt;""),"",IF(AND($CV288&lt;&gt;$CW288,$CW288=CN$110),$DJ288,"")),"")</f>
      </c>
      <c s="76">
        <f>IF(ISERROR(VLOOKUP(CV288,$AL$8:$AL$15,1,FALSE))=TRUE,IF(CN288&lt;&gt;"",IF(CN288&gt;0,RANK(CN288,$CN$111:$CN$300),""),""),"")</f>
      </c>
      <c s="75">
        <f>IF(ISERROR(VLOOKUP(CV288,$AL$8:$AL$15,1,FALSE))=TRUE,IF(AND(ISERROR(FIND("NeighMkt",$CX$102))=FALSE,LEFT($CW$111,10)="ALL OUTLET",$CA288&lt;&gt;"",DJ288&lt;&gt;""),"",IF(AND($CV288&lt;&gt;$CW288,$CW288=CP$110),$DJ288,"")),"")</f>
      </c>
      <c s="76">
        <f>IF(ISERROR(VLOOKUP(CV288,$AL$8:$AL$15,1,FALSE))=TRUE,IF(CP288&lt;&gt;"",IF(CP288&gt;0,RANK(CP288,$CP$111:$CP$300),""),""),"")</f>
      </c>
      <c s="75">
        <f>IF(ISERROR(VLOOKUP(CV288,$AL$8:$AL$15,1,FALSE))=TRUE,IF(AND(ISERROR(FIND("NeighMkt",$CX$102))=FALSE,LEFT($CW$111,10)="ALL OUTLET",$CA288&lt;&gt;"",DJ288&lt;&gt;""),"",IF(AND($CV288&lt;&gt;$CW288,$CW288=CR$110),$DJ288,"")),"")</f>
      </c>
      <c s="76">
        <f>IF(ISERROR(VLOOKUP(CV288,$AL$8:$AL$15,1,FALSE))=TRUE,IF(CR288&lt;&gt;"",IF(CR288&gt;0,RANK(CR288,$CR$111:$CR$300),""),""),"")</f>
      </c>
      <c s="75">
        <f>IF(ISERROR(VLOOKUP(CV288,$AL$8:$AL$15,1,FALSE))=TRUE,IF(AND(ISERROR(FIND("NeighMkt",$CX$102))=FALSE,LEFT($CW$111,10)="ALL OUTLET",$CA288&lt;&gt;"",DJ288&lt;&gt;""),"",IF($Z$4="",IF(AND($CV288&lt;&gt;$CW288,$CW288=CT$110),$DJ288,""),IF(AND($CV288&lt;&gt;$CW288,$CW288&lt;&gt;CN$110,$CW288&lt;&gt;CP$110,$CW288&lt;&gt;CR$110,$CW288&lt;&gt;$CV$111),$DJ288,""))),"")</f>
      </c>
      <c s="76">
        <f>IF(ISERROR(VLOOKUP(CV288,$AL$8:$AL$15,1,FALSE))=TRUE,IF(CT288&lt;&gt;"",IF(CT288&gt;0,RANK(CT288,$CT$111:$CT$300),""),""),"")</f>
      </c>
      <c s="65">
        <f t="shared" si="47"/>
      </c>
      <c s="65">
        <f t="shared" si="48"/>
      </c>
      <c s="72">
        <f>IF('[1]Leakage Tree Data'!A187&lt;&gt;"",'[1]Leakage Tree Data'!A187,"")</f>
      </c>
      <c s="72">
        <f>IF('[1]Leakage Tree Data'!B187&lt;&gt;"",'[1]Leakage Tree Data'!B187,"")</f>
      </c>
      <c s="72">
        <f>IF('[1]Leakage Tree Data'!C187&lt;&gt;"",'[1]Leakage Tree Data'!C187,"")</f>
      </c>
      <c s="72">
        <f>IF('[1]Leakage Tree Data'!D187&lt;&gt;"",'[1]Leakage Tree Data'!D187,"")</f>
      </c>
      <c s="72">
        <f>IF('[1]Leakage Tree Data'!E187&lt;&gt;"",'[1]Leakage Tree Data'!E187,"")</f>
      </c>
      <c s="72">
        <f>IF('[1]Leakage Tree Data'!F187&lt;&gt;"",'[1]Leakage Tree Data'!F187,"")</f>
      </c>
      <c s="72">
        <f>IF('[1]Leakage Tree Data'!G187&lt;&gt;"",'[1]Leakage Tree Data'!G187,"")</f>
      </c>
      <c s="72">
        <f>IF('[1]Leakage Tree Data'!H187&lt;&gt;"",'[1]Leakage Tree Data'!H187,"")</f>
      </c>
      <c s="72">
        <f>IF('[1]Leakage Tree Data'!I187&lt;&gt;"",'[1]Leakage Tree Data'!I187,"")</f>
      </c>
      <c s="72">
        <f>IF('[1]Leakage Tree Data'!J187&lt;&gt;"",'[1]Leakage Tree Data'!J187,"")</f>
      </c>
      <c s="72">
        <f>IF('[1]Leakage Tree Data'!K187&lt;&gt;"",'[1]Leakage Tree Data'!K187,"")</f>
      </c>
      <c s="72">
        <f>IF('[1]Leakage Tree Data'!L187&lt;&gt;"",'[1]Leakage Tree Data'!L187,"")</f>
      </c>
      <c s="72">
        <f>IF('[1]Leakage Tree Data'!M187&lt;&gt;"",'[1]Leakage Tree Data'!M187,"")</f>
      </c>
      <c s="72">
        <f>IF('[1]Leakage Tree Data'!N187&lt;&gt;"",'[1]Leakage Tree Data'!N187,"")</f>
      </c>
      <c s="72">
        <f>IF('[1]Leakage Tree Data'!O187&lt;&gt;"",'[1]Leakage Tree Data'!O187,"")</f>
      </c>
      <c s="72">
        <f>IF('[1]Leakage Tree Data'!P187&lt;&gt;"",'[1]Leakage Tree Data'!P187,"")</f>
      </c>
      <c s="72">
        <f>IF('[1]Leakage Tree Data'!Q187&lt;&gt;"",'[1]Leakage Tree Data'!Q187,"")</f>
      </c>
      <c s="72">
        <f>IF('[1]Leakage Tree Data'!R187&lt;&gt;"",'[1]Leakage Tree Data'!R187,"")</f>
      </c>
      <c s="72">
        <f>IF('[1]Leakage Tree Data'!S187&lt;&gt;"",'[1]Leakage Tree Data'!S187,"")</f>
      </c>
      <c s="72">
        <f>IF('[1]Leakage Tree Data'!T187&lt;&gt;"",'[1]Leakage Tree Data'!T187,"")</f>
      </c>
      <c s="72">
        <f>IF('[1]Leakage Tree Data'!U187&lt;&gt;"",'[1]Leakage Tree Data'!U187,"")</f>
      </c>
      <c s="72">
        <f>IF('[1]Leakage Tree Data'!V187&lt;&gt;"",'[1]Leakage Tree Data'!V187,"")</f>
      </c>
      <c s="72">
        <f>IF('[1]Leakage Tree Data'!W187&lt;&gt;"",'[1]Leakage Tree Data'!W187,"")</f>
      </c>
      <c s="72">
        <f>IF('[1]Leakage Tree Data'!X187&lt;&gt;"",'[1]Leakage Tree Data'!X187,"")</f>
      </c>
      <c s="72">
        <f>IF('[1]Leakage Tree Data'!Y187&lt;&gt;"",'[1]Leakage Tree Data'!Y187,"")</f>
      </c>
      <c s="72">
        <f>IF('[1]Leakage Tree Data'!Z187&lt;&gt;"",'[1]Leakage Tree Data'!Z187,"")</f>
      </c>
      <c s="72">
        <f>IF('[1]Leakage Tree Data'!AA187&lt;&gt;"",'[1]Leakage Tree Data'!AA187,"")</f>
      </c>
      <c s="72">
        <f>IF('[1]Leakage Tree Data'!AB187&lt;&gt;"",'[1]Leakage Tree Data'!AB187,"")</f>
      </c>
      <c s="72">
        <f>IF('[1]Leakage Tree Data'!AC187&lt;&gt;"",'[1]Leakage Tree Data'!AC187,"")</f>
      </c>
      <c s="72">
        <f>IF('[1]Leakage Tree Data'!AD187&lt;&gt;"",'[1]Leakage Tree Data'!AD187,"")</f>
      </c>
      <c s="72">
        <f>IF('[1]Leakage Tree Data'!AE187&lt;&gt;"",'[1]Leakage Tree Data'!AE187,"")</f>
      </c>
      <c s="73">
        <f t="shared" si="49"/>
      </c>
      <c s="73">
        <f t="shared" si="50"/>
      </c>
      <c s="73">
        <f t="shared" si="51"/>
      </c>
      <c s="73">
        <f t="shared" si="52"/>
      </c>
      <c s="74">
        <f t="shared" si="53"/>
      </c>
      <c s="74">
        <f t="shared" si="54"/>
      </c>
      <c s="69">
        <f t="shared" si="55"/>
      </c>
      <c s="69">
        <f t="shared" si="56"/>
      </c>
    </row>
    <row r="289" spans="1:140" s="92" customFormat="1" ht="15">
      <c r="A289"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289,$AL$8:$AL$15,1,FALSE))=TRUE,IF(AND(CV289=CW289,CV289&lt;&gt;"",DI$111&lt;&gt;"",DK289&lt;&gt;""),IF(CW$101="Y",DK289-IF(ISERROR(VLOOKUP(CV289,$CA$113:$DK$300,37,FALSE))=TRUE,0,IF(VLOOKUP(CV289,$CA$113:$DK$300,37,FALSE)="",0,VLOOKUP(CV289,$CA$113:$DK$300,37,FALSE))),DK289-IF(AND(CW$102="Y",CV289=$CW$111),DI$111,0)),""),"")</f>
      </c>
      <c s="76">
        <f>IF(ISERROR(VLOOKUP(CV289,$AL$8:$AL$15,1,FALSE))=TRUE,IF(CB289&lt;&gt;"",IF(CB289&gt;0,IF(Z$4&lt;&gt;"",MIN(4,RANK(CB289,$CB$111:$CB$300)),RANK(CB289,$CB$111:$CB$300)),""),""),"")</f>
      </c>
      <c s="75">
        <f>IF(ISERROR(VLOOKUP(CV289,$AL$8:$AL$15,1,FALSE))=TRUE,IF(AND(ISERROR(FIND("NeighMkt",$CX$102))=FALSE,LEFT($CW$111,10)="ALL OUTLET",$CA289&lt;&gt;"",DK289&lt;&gt;""),"",IF(AND($CV289&lt;&gt;$CW289,$CW289=CD$110),$DK289,"")),"")</f>
      </c>
      <c s="76">
        <f>IF(ISERROR(VLOOKUP(CV289,$AL$8:$AL$15,1,FALSE))=TRUE,IF(CD289&lt;&gt;"",IF(CD289&gt;0,RANK(CD289,$CD$111:$CD$300),""),""),"")</f>
      </c>
      <c s="75">
        <f>IF(ISERROR(VLOOKUP(CV289,$AL$8:$AL$15,1,FALSE))=TRUE,IF(AND(ISERROR(FIND("NeighMkt",$CX$102))=FALSE,LEFT($CW$111,10)="ALL OUTLET",$CA289&lt;&gt;"",DK289&lt;&gt;""),"",IF(AND($CV289&lt;&gt;$CW289,$CW289=CF$110),$DK289,"")),"")</f>
      </c>
      <c s="76">
        <f>IF(ISERROR(VLOOKUP(CV289,$AL$8:$AL$15,1,FALSE))=TRUE,IF(CF289&lt;&gt;"",IF(CF289&gt;0,RANK(CF289,$CF$111:$CF$300),""),""),"")</f>
      </c>
      <c s="75">
        <f>IF(ISERROR(VLOOKUP(CV289,$AL$8:$AL$15,1,FALSE))=TRUE,IF(AND(ISERROR(FIND("NeighMkt",$CX$102))=FALSE,LEFT($CW$111,10)="ALL OUTLET",$CA289&lt;&gt;"",DK289&lt;&gt;""),"",IF(AND($CV289&lt;&gt;$CW289,$CW289=CH$110),$DK289,"")),"")</f>
      </c>
      <c s="76">
        <f>IF(ISERROR(VLOOKUP(CV289,$AL$8:$AL$15,1,FALSE))=TRUE,IF(CH289&lt;&gt;"",IF(CH289&gt;0,RANK(CH289,$CH$111:$CH$300),""),""),"")</f>
      </c>
      <c s="75">
        <f>IF(ISERROR(VLOOKUP(CV289,$AL$8:$AL$15,1,FALSE))=TRUE,IF(AND(ISERROR(FIND("NeighMkt",$CX$102))=FALSE,LEFT($CW$111,10)="ALL OUTLET",$CA289&lt;&gt;"",DK289&lt;&gt;""),"",IF($Z$4="",IF(AND($CV289&lt;&gt;$CW289,$CW289=CJ$110),$DK289,""),IF(AND($CV289&lt;&gt;$CW289,$CW289&lt;&gt;CD$110,$CW289&lt;&gt;CF$110,$CW289&lt;&gt;CH$110,$CW289&lt;&gt;$CV$111),$DK289,""))),"")</f>
      </c>
      <c s="76">
        <f>IF(ISERROR(VLOOKUP(CV289,$AL$8:$AL$15,1,FALSE))=TRUE,IF(CJ289&lt;&gt;"",IF(CJ289&gt;0,RANK(CJ289,$CJ$111:$CJ$300),""),""),"")</f>
      </c>
      <c s="75">
        <f>IF(ISERROR(VLOOKUP(CV289,$AL$8:$AL$15,1,FALSE))=TRUE,IF(AND(CV289=CW289,CV289&lt;&gt;"",DJ289&lt;&gt;""),IF(AND(ISERROR(FIND("NeighMkt",$CX$102))=FALSE,LEFT($CW$111,10)="ALL OUTLET"),DJ289-IF(ISERROR(VLOOKUP(CV289,$CA$113:$DK$300,36,FALSE))=TRUE,0,IF(VLOOKUP(CV289,$CA$113:$DK$300,36,FALSE)="",0,VLOOKUP(CV289,$CA$113:$DK$300,36,FALSE))),DJ289),""),"")</f>
      </c>
      <c s="76">
        <f>IF(ISERROR(VLOOKUP(CV289,$AL$8:$AL$15,1,FALSE))=TRUE,IF(CL289&lt;&gt;"",IF(CL289&gt;0,IF($Z$4&lt;&gt;"",MIN(4,RANK(CL289,$CL$111:$CL$300)),RANK(CL289,$CL$111:$CL$300)),""),""),"")</f>
      </c>
      <c s="75">
        <f>IF(ISERROR(VLOOKUP(CV289,$AL$8:$AL$15,1,FALSE))=TRUE,IF(AND(ISERROR(FIND("NeighMkt",$CX$102))=FALSE,LEFT($CW$111,10)="ALL OUTLET",$CA289&lt;&gt;"",DJ289&lt;&gt;""),"",IF(AND($CV289&lt;&gt;$CW289,$CW289=CN$110),$DJ289,"")),"")</f>
      </c>
      <c s="76">
        <f>IF(ISERROR(VLOOKUP(CV289,$AL$8:$AL$15,1,FALSE))=TRUE,IF(CN289&lt;&gt;"",IF(CN289&gt;0,RANK(CN289,$CN$111:$CN$300),""),""),"")</f>
      </c>
      <c s="75">
        <f>IF(ISERROR(VLOOKUP(CV289,$AL$8:$AL$15,1,FALSE))=TRUE,IF(AND(ISERROR(FIND("NeighMkt",$CX$102))=FALSE,LEFT($CW$111,10)="ALL OUTLET",$CA289&lt;&gt;"",DJ289&lt;&gt;""),"",IF(AND($CV289&lt;&gt;$CW289,$CW289=CP$110),$DJ289,"")),"")</f>
      </c>
      <c s="76">
        <f>IF(ISERROR(VLOOKUP(CV289,$AL$8:$AL$15,1,FALSE))=TRUE,IF(CP289&lt;&gt;"",IF(CP289&gt;0,RANK(CP289,$CP$111:$CP$300),""),""),"")</f>
      </c>
      <c s="75">
        <f>IF(ISERROR(VLOOKUP(CV289,$AL$8:$AL$15,1,FALSE))=TRUE,IF(AND(ISERROR(FIND("NeighMkt",$CX$102))=FALSE,LEFT($CW$111,10)="ALL OUTLET",$CA289&lt;&gt;"",DJ289&lt;&gt;""),"",IF(AND($CV289&lt;&gt;$CW289,$CW289=CR$110),$DJ289,"")),"")</f>
      </c>
      <c s="76">
        <f>IF(ISERROR(VLOOKUP(CV289,$AL$8:$AL$15,1,FALSE))=TRUE,IF(CR289&lt;&gt;"",IF(CR289&gt;0,RANK(CR289,$CR$111:$CR$300),""),""),"")</f>
      </c>
      <c s="75">
        <f>IF(ISERROR(VLOOKUP(CV289,$AL$8:$AL$15,1,FALSE))=TRUE,IF(AND(ISERROR(FIND("NeighMkt",$CX$102))=FALSE,LEFT($CW$111,10)="ALL OUTLET",$CA289&lt;&gt;"",DJ289&lt;&gt;""),"",IF($Z$4="",IF(AND($CV289&lt;&gt;$CW289,$CW289=CT$110),$DJ289,""),IF(AND($CV289&lt;&gt;$CW289,$CW289&lt;&gt;CN$110,$CW289&lt;&gt;CP$110,$CW289&lt;&gt;CR$110,$CW289&lt;&gt;$CV$111),$DJ289,""))),"")</f>
      </c>
      <c s="76">
        <f>IF(ISERROR(VLOOKUP(CV289,$AL$8:$AL$15,1,FALSE))=TRUE,IF(CT289&lt;&gt;"",IF(CT289&gt;0,RANK(CT289,$CT$111:$CT$300),""),""),"")</f>
      </c>
      <c s="65">
        <f t="shared" si="47"/>
      </c>
      <c s="65">
        <f t="shared" si="48"/>
      </c>
      <c s="72">
        <f>IF('[1]Leakage Tree Data'!A188&lt;&gt;"",'[1]Leakage Tree Data'!A188,"")</f>
      </c>
      <c s="72">
        <f>IF('[1]Leakage Tree Data'!B188&lt;&gt;"",'[1]Leakage Tree Data'!B188,"")</f>
      </c>
      <c s="72">
        <f>IF('[1]Leakage Tree Data'!C188&lt;&gt;"",'[1]Leakage Tree Data'!C188,"")</f>
      </c>
      <c s="72">
        <f>IF('[1]Leakage Tree Data'!D188&lt;&gt;"",'[1]Leakage Tree Data'!D188,"")</f>
      </c>
      <c s="72">
        <f>IF('[1]Leakage Tree Data'!E188&lt;&gt;"",'[1]Leakage Tree Data'!E188,"")</f>
      </c>
      <c s="72">
        <f>IF('[1]Leakage Tree Data'!F188&lt;&gt;"",'[1]Leakage Tree Data'!F188,"")</f>
      </c>
      <c s="72">
        <f>IF('[1]Leakage Tree Data'!G188&lt;&gt;"",'[1]Leakage Tree Data'!G188,"")</f>
      </c>
      <c s="72">
        <f>IF('[1]Leakage Tree Data'!H188&lt;&gt;"",'[1]Leakage Tree Data'!H188,"")</f>
      </c>
      <c s="72">
        <f>IF('[1]Leakage Tree Data'!I188&lt;&gt;"",'[1]Leakage Tree Data'!I188,"")</f>
      </c>
      <c s="72">
        <f>IF('[1]Leakage Tree Data'!J188&lt;&gt;"",'[1]Leakage Tree Data'!J188,"")</f>
      </c>
      <c s="72">
        <f>IF('[1]Leakage Tree Data'!K188&lt;&gt;"",'[1]Leakage Tree Data'!K188,"")</f>
      </c>
      <c s="72">
        <f>IF('[1]Leakage Tree Data'!L188&lt;&gt;"",'[1]Leakage Tree Data'!L188,"")</f>
      </c>
      <c s="72">
        <f>IF('[1]Leakage Tree Data'!M188&lt;&gt;"",'[1]Leakage Tree Data'!M188,"")</f>
      </c>
      <c s="72">
        <f>IF('[1]Leakage Tree Data'!N188&lt;&gt;"",'[1]Leakage Tree Data'!N188,"")</f>
      </c>
      <c s="72">
        <f>IF('[1]Leakage Tree Data'!O188&lt;&gt;"",'[1]Leakage Tree Data'!O188,"")</f>
      </c>
      <c s="72">
        <f>IF('[1]Leakage Tree Data'!P188&lt;&gt;"",'[1]Leakage Tree Data'!P188,"")</f>
      </c>
      <c s="72">
        <f>IF('[1]Leakage Tree Data'!Q188&lt;&gt;"",'[1]Leakage Tree Data'!Q188,"")</f>
      </c>
      <c s="72">
        <f>IF('[1]Leakage Tree Data'!R188&lt;&gt;"",'[1]Leakage Tree Data'!R188,"")</f>
      </c>
      <c s="72">
        <f>IF('[1]Leakage Tree Data'!S188&lt;&gt;"",'[1]Leakage Tree Data'!S188,"")</f>
      </c>
      <c s="72">
        <f>IF('[1]Leakage Tree Data'!T188&lt;&gt;"",'[1]Leakage Tree Data'!T188,"")</f>
      </c>
      <c s="72">
        <f>IF('[1]Leakage Tree Data'!U188&lt;&gt;"",'[1]Leakage Tree Data'!U188,"")</f>
      </c>
      <c s="72">
        <f>IF('[1]Leakage Tree Data'!V188&lt;&gt;"",'[1]Leakage Tree Data'!V188,"")</f>
      </c>
      <c s="72">
        <f>IF('[1]Leakage Tree Data'!W188&lt;&gt;"",'[1]Leakage Tree Data'!W188,"")</f>
      </c>
      <c s="72">
        <f>IF('[1]Leakage Tree Data'!X188&lt;&gt;"",'[1]Leakage Tree Data'!X188,"")</f>
      </c>
      <c s="72">
        <f>IF('[1]Leakage Tree Data'!Y188&lt;&gt;"",'[1]Leakage Tree Data'!Y188,"")</f>
      </c>
      <c s="72">
        <f>IF('[1]Leakage Tree Data'!Z188&lt;&gt;"",'[1]Leakage Tree Data'!Z188,"")</f>
      </c>
      <c s="72">
        <f>IF('[1]Leakage Tree Data'!AA188&lt;&gt;"",'[1]Leakage Tree Data'!AA188,"")</f>
      </c>
      <c s="72">
        <f>IF('[1]Leakage Tree Data'!AB188&lt;&gt;"",'[1]Leakage Tree Data'!AB188,"")</f>
      </c>
      <c s="72">
        <f>IF('[1]Leakage Tree Data'!AC188&lt;&gt;"",'[1]Leakage Tree Data'!AC188,"")</f>
      </c>
      <c s="72">
        <f>IF('[1]Leakage Tree Data'!AD188&lt;&gt;"",'[1]Leakage Tree Data'!AD188,"")</f>
      </c>
      <c s="72">
        <f>IF('[1]Leakage Tree Data'!AE188&lt;&gt;"",'[1]Leakage Tree Data'!AE188,"")</f>
      </c>
      <c s="73">
        <f t="shared" si="49"/>
      </c>
      <c s="73">
        <f t="shared" si="50"/>
      </c>
      <c s="73">
        <f t="shared" si="51"/>
      </c>
      <c s="73">
        <f t="shared" si="52"/>
      </c>
      <c s="74">
        <f t="shared" si="53"/>
      </c>
      <c s="74">
        <f t="shared" si="54"/>
      </c>
      <c s="69">
        <f t="shared" si="55"/>
      </c>
      <c s="69">
        <f t="shared" si="56"/>
      </c>
    </row>
    <row r="290" spans="1:140" s="92" customFormat="1" ht="15">
      <c r="A29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290,$AL$8:$AL$15,1,FALSE))=TRUE,IF(AND(CV290=CW290,CV290&lt;&gt;"",DI$111&lt;&gt;"",DK290&lt;&gt;""),IF(CW$101="Y",DK290-IF(ISERROR(VLOOKUP(CV290,$CA$113:$DK$300,37,FALSE))=TRUE,0,IF(VLOOKUP(CV290,$CA$113:$DK$300,37,FALSE)="",0,VLOOKUP(CV290,$CA$113:$DK$300,37,FALSE))),DK290-IF(AND(CW$102="Y",CV290=$CW$111),DI$111,0)),""),"")</f>
      </c>
      <c s="76">
        <f>IF(ISERROR(VLOOKUP(CV290,$AL$8:$AL$15,1,FALSE))=TRUE,IF(CB290&lt;&gt;"",IF(CB290&gt;0,IF(Z$4&lt;&gt;"",MIN(4,RANK(CB290,$CB$111:$CB$300)),RANK(CB290,$CB$111:$CB$300)),""),""),"")</f>
      </c>
      <c s="75">
        <f>IF(ISERROR(VLOOKUP(CV290,$AL$8:$AL$15,1,FALSE))=TRUE,IF(AND(ISERROR(FIND("NeighMkt",$CX$102))=FALSE,LEFT($CW$111,10)="ALL OUTLET",$CA290&lt;&gt;"",DK290&lt;&gt;""),"",IF(AND($CV290&lt;&gt;$CW290,$CW290=CD$110),$DK290,"")),"")</f>
      </c>
      <c s="76">
        <f>IF(ISERROR(VLOOKUP(CV290,$AL$8:$AL$15,1,FALSE))=TRUE,IF(CD290&lt;&gt;"",IF(CD290&gt;0,RANK(CD290,$CD$111:$CD$300),""),""),"")</f>
      </c>
      <c s="75">
        <f>IF(ISERROR(VLOOKUP(CV290,$AL$8:$AL$15,1,FALSE))=TRUE,IF(AND(ISERROR(FIND("NeighMkt",$CX$102))=FALSE,LEFT($CW$111,10)="ALL OUTLET",$CA290&lt;&gt;"",DK290&lt;&gt;""),"",IF(AND($CV290&lt;&gt;$CW290,$CW290=CF$110),$DK290,"")),"")</f>
      </c>
      <c s="76">
        <f>IF(ISERROR(VLOOKUP(CV290,$AL$8:$AL$15,1,FALSE))=TRUE,IF(CF290&lt;&gt;"",IF(CF290&gt;0,RANK(CF290,$CF$111:$CF$300),""),""),"")</f>
      </c>
      <c s="75">
        <f>IF(ISERROR(VLOOKUP(CV290,$AL$8:$AL$15,1,FALSE))=TRUE,IF(AND(ISERROR(FIND("NeighMkt",$CX$102))=FALSE,LEFT($CW$111,10)="ALL OUTLET",$CA290&lt;&gt;"",DK290&lt;&gt;""),"",IF(AND($CV290&lt;&gt;$CW290,$CW290=CH$110),$DK290,"")),"")</f>
      </c>
      <c s="76">
        <f>IF(ISERROR(VLOOKUP(CV290,$AL$8:$AL$15,1,FALSE))=TRUE,IF(CH290&lt;&gt;"",IF(CH290&gt;0,RANK(CH290,$CH$111:$CH$300),""),""),"")</f>
      </c>
      <c s="75">
        <f>IF(ISERROR(VLOOKUP(CV290,$AL$8:$AL$15,1,FALSE))=TRUE,IF(AND(ISERROR(FIND("NeighMkt",$CX$102))=FALSE,LEFT($CW$111,10)="ALL OUTLET",$CA290&lt;&gt;"",DK290&lt;&gt;""),"",IF($Z$4="",IF(AND($CV290&lt;&gt;$CW290,$CW290=CJ$110),$DK290,""),IF(AND($CV290&lt;&gt;$CW290,$CW290&lt;&gt;CD$110,$CW290&lt;&gt;CF$110,$CW290&lt;&gt;CH$110,$CW290&lt;&gt;$CV$111),$DK290,""))),"")</f>
      </c>
      <c s="76">
        <f>IF(ISERROR(VLOOKUP(CV290,$AL$8:$AL$15,1,FALSE))=TRUE,IF(CJ290&lt;&gt;"",IF(CJ290&gt;0,RANK(CJ290,$CJ$111:$CJ$300),""),""),"")</f>
      </c>
      <c s="75">
        <f>IF(ISERROR(VLOOKUP(CV290,$AL$8:$AL$15,1,FALSE))=TRUE,IF(AND(CV290=CW290,CV290&lt;&gt;"",DJ290&lt;&gt;""),IF(AND(ISERROR(FIND("NeighMkt",$CX$102))=FALSE,LEFT($CW$111,10)="ALL OUTLET"),DJ290-IF(ISERROR(VLOOKUP(CV290,$CA$113:$DK$300,36,FALSE))=TRUE,0,IF(VLOOKUP(CV290,$CA$113:$DK$300,36,FALSE)="",0,VLOOKUP(CV290,$CA$113:$DK$300,36,FALSE))),DJ290),""),"")</f>
      </c>
      <c s="76">
        <f>IF(ISERROR(VLOOKUP(CV290,$AL$8:$AL$15,1,FALSE))=TRUE,IF(CL290&lt;&gt;"",IF(CL290&gt;0,IF($Z$4&lt;&gt;"",MIN(4,RANK(CL290,$CL$111:$CL$300)),RANK(CL290,$CL$111:$CL$300)),""),""),"")</f>
      </c>
      <c s="75">
        <f>IF(ISERROR(VLOOKUP(CV290,$AL$8:$AL$15,1,FALSE))=TRUE,IF(AND(ISERROR(FIND("NeighMkt",$CX$102))=FALSE,LEFT($CW$111,10)="ALL OUTLET",$CA290&lt;&gt;"",DJ290&lt;&gt;""),"",IF(AND($CV290&lt;&gt;$CW290,$CW290=CN$110),$DJ290,"")),"")</f>
      </c>
      <c s="76">
        <f>IF(ISERROR(VLOOKUP(CV290,$AL$8:$AL$15,1,FALSE))=TRUE,IF(CN290&lt;&gt;"",IF(CN290&gt;0,RANK(CN290,$CN$111:$CN$300),""),""),"")</f>
      </c>
      <c s="75">
        <f>IF(ISERROR(VLOOKUP(CV290,$AL$8:$AL$15,1,FALSE))=TRUE,IF(AND(ISERROR(FIND("NeighMkt",$CX$102))=FALSE,LEFT($CW$111,10)="ALL OUTLET",$CA290&lt;&gt;"",DJ290&lt;&gt;""),"",IF(AND($CV290&lt;&gt;$CW290,$CW290=CP$110),$DJ290,"")),"")</f>
      </c>
      <c s="76">
        <f>IF(ISERROR(VLOOKUP(CV290,$AL$8:$AL$15,1,FALSE))=TRUE,IF(CP290&lt;&gt;"",IF(CP290&gt;0,RANK(CP290,$CP$111:$CP$300),""),""),"")</f>
      </c>
      <c s="75">
        <f>IF(ISERROR(VLOOKUP(CV290,$AL$8:$AL$15,1,FALSE))=TRUE,IF(AND(ISERROR(FIND("NeighMkt",$CX$102))=FALSE,LEFT($CW$111,10)="ALL OUTLET",$CA290&lt;&gt;"",DJ290&lt;&gt;""),"",IF(AND($CV290&lt;&gt;$CW290,$CW290=CR$110),$DJ290,"")),"")</f>
      </c>
      <c s="76">
        <f>IF(ISERROR(VLOOKUP(CV290,$AL$8:$AL$15,1,FALSE))=TRUE,IF(CR290&lt;&gt;"",IF(CR290&gt;0,RANK(CR290,$CR$111:$CR$300),""),""),"")</f>
      </c>
      <c s="75">
        <f>IF(ISERROR(VLOOKUP(CV290,$AL$8:$AL$15,1,FALSE))=TRUE,IF(AND(ISERROR(FIND("NeighMkt",$CX$102))=FALSE,LEFT($CW$111,10)="ALL OUTLET",$CA290&lt;&gt;"",DJ290&lt;&gt;""),"",IF($Z$4="",IF(AND($CV290&lt;&gt;$CW290,$CW290=CT$110),$DJ290,""),IF(AND($CV290&lt;&gt;$CW290,$CW290&lt;&gt;CN$110,$CW290&lt;&gt;CP$110,$CW290&lt;&gt;CR$110,$CW290&lt;&gt;$CV$111),$DJ290,""))),"")</f>
      </c>
      <c s="76">
        <f>IF(ISERROR(VLOOKUP(CV290,$AL$8:$AL$15,1,FALSE))=TRUE,IF(CT290&lt;&gt;"",IF(CT290&gt;0,RANK(CT290,$CT$111:$CT$300),""),""),"")</f>
      </c>
      <c s="65">
        <f t="shared" si="47"/>
      </c>
      <c s="65">
        <f t="shared" si="48"/>
      </c>
      <c s="72">
        <f>IF('[1]Leakage Tree Data'!A189&lt;&gt;"",'[1]Leakage Tree Data'!A189,"")</f>
      </c>
      <c s="72">
        <f>IF('[1]Leakage Tree Data'!B189&lt;&gt;"",'[1]Leakage Tree Data'!B189,"")</f>
      </c>
      <c s="72">
        <f>IF('[1]Leakage Tree Data'!C189&lt;&gt;"",'[1]Leakage Tree Data'!C189,"")</f>
      </c>
      <c s="72">
        <f>IF('[1]Leakage Tree Data'!D189&lt;&gt;"",'[1]Leakage Tree Data'!D189,"")</f>
      </c>
      <c s="72">
        <f>IF('[1]Leakage Tree Data'!E189&lt;&gt;"",'[1]Leakage Tree Data'!E189,"")</f>
      </c>
      <c s="72">
        <f>IF('[1]Leakage Tree Data'!F189&lt;&gt;"",'[1]Leakage Tree Data'!F189,"")</f>
      </c>
      <c s="72">
        <f>IF('[1]Leakage Tree Data'!G189&lt;&gt;"",'[1]Leakage Tree Data'!G189,"")</f>
      </c>
      <c s="72">
        <f>IF('[1]Leakage Tree Data'!H189&lt;&gt;"",'[1]Leakage Tree Data'!H189,"")</f>
      </c>
      <c s="72">
        <f>IF('[1]Leakage Tree Data'!I189&lt;&gt;"",'[1]Leakage Tree Data'!I189,"")</f>
      </c>
      <c s="72">
        <f>IF('[1]Leakage Tree Data'!J189&lt;&gt;"",'[1]Leakage Tree Data'!J189,"")</f>
      </c>
      <c s="72">
        <f>IF('[1]Leakage Tree Data'!K189&lt;&gt;"",'[1]Leakage Tree Data'!K189,"")</f>
      </c>
      <c s="72">
        <f>IF('[1]Leakage Tree Data'!L189&lt;&gt;"",'[1]Leakage Tree Data'!L189,"")</f>
      </c>
      <c s="72">
        <f>IF('[1]Leakage Tree Data'!M189&lt;&gt;"",'[1]Leakage Tree Data'!M189,"")</f>
      </c>
      <c s="72">
        <f>IF('[1]Leakage Tree Data'!N189&lt;&gt;"",'[1]Leakage Tree Data'!N189,"")</f>
      </c>
      <c s="72">
        <f>IF('[1]Leakage Tree Data'!O189&lt;&gt;"",'[1]Leakage Tree Data'!O189,"")</f>
      </c>
      <c s="72">
        <f>IF('[1]Leakage Tree Data'!P189&lt;&gt;"",'[1]Leakage Tree Data'!P189,"")</f>
      </c>
      <c s="72">
        <f>IF('[1]Leakage Tree Data'!Q189&lt;&gt;"",'[1]Leakage Tree Data'!Q189,"")</f>
      </c>
      <c s="72">
        <f>IF('[1]Leakage Tree Data'!R189&lt;&gt;"",'[1]Leakage Tree Data'!R189,"")</f>
      </c>
      <c s="72">
        <f>IF('[1]Leakage Tree Data'!S189&lt;&gt;"",'[1]Leakage Tree Data'!S189,"")</f>
      </c>
      <c s="72">
        <f>IF('[1]Leakage Tree Data'!T189&lt;&gt;"",'[1]Leakage Tree Data'!T189,"")</f>
      </c>
      <c s="72">
        <f>IF('[1]Leakage Tree Data'!U189&lt;&gt;"",'[1]Leakage Tree Data'!U189,"")</f>
      </c>
      <c s="72">
        <f>IF('[1]Leakage Tree Data'!V189&lt;&gt;"",'[1]Leakage Tree Data'!V189,"")</f>
      </c>
      <c s="72">
        <f>IF('[1]Leakage Tree Data'!W189&lt;&gt;"",'[1]Leakage Tree Data'!W189,"")</f>
      </c>
      <c s="72">
        <f>IF('[1]Leakage Tree Data'!X189&lt;&gt;"",'[1]Leakage Tree Data'!X189,"")</f>
      </c>
      <c s="72">
        <f>IF('[1]Leakage Tree Data'!Y189&lt;&gt;"",'[1]Leakage Tree Data'!Y189,"")</f>
      </c>
      <c s="72">
        <f>IF('[1]Leakage Tree Data'!Z189&lt;&gt;"",'[1]Leakage Tree Data'!Z189,"")</f>
      </c>
      <c s="72">
        <f>IF('[1]Leakage Tree Data'!AA189&lt;&gt;"",'[1]Leakage Tree Data'!AA189,"")</f>
      </c>
      <c s="72">
        <f>IF('[1]Leakage Tree Data'!AB189&lt;&gt;"",'[1]Leakage Tree Data'!AB189,"")</f>
      </c>
      <c s="72">
        <f>IF('[1]Leakage Tree Data'!AC189&lt;&gt;"",'[1]Leakage Tree Data'!AC189,"")</f>
      </c>
      <c s="72">
        <f>IF('[1]Leakage Tree Data'!AD189&lt;&gt;"",'[1]Leakage Tree Data'!AD189,"")</f>
      </c>
      <c s="72">
        <f>IF('[1]Leakage Tree Data'!AE189&lt;&gt;"",'[1]Leakage Tree Data'!AE189,"")</f>
      </c>
      <c s="73">
        <f t="shared" si="49"/>
      </c>
      <c s="73">
        <f t="shared" si="50"/>
      </c>
      <c s="73">
        <f t="shared" si="51"/>
      </c>
      <c s="73">
        <f t="shared" si="52"/>
      </c>
      <c s="74">
        <f t="shared" si="53"/>
      </c>
      <c s="74">
        <f t="shared" si="54"/>
      </c>
      <c s="69">
        <f t="shared" si="55"/>
      </c>
      <c s="69">
        <f t="shared" si="56"/>
      </c>
    </row>
    <row r="291" spans="1:140" s="92" customFormat="1" ht="15">
      <c r="A291"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291,$AL$8:$AL$15,1,FALSE))=TRUE,IF(AND(CV291=CW291,CV291&lt;&gt;"",DI$111&lt;&gt;"",DK291&lt;&gt;""),IF(CW$101="Y",DK291-IF(ISERROR(VLOOKUP(CV291,$CA$113:$DK$300,37,FALSE))=TRUE,0,IF(VLOOKUP(CV291,$CA$113:$DK$300,37,FALSE)="",0,VLOOKUP(CV291,$CA$113:$DK$300,37,FALSE))),DK291-IF(AND(CW$102="Y",CV291=$CW$111),DI$111,0)),""),"")</f>
      </c>
      <c s="76">
        <f>IF(ISERROR(VLOOKUP(CV291,$AL$8:$AL$15,1,FALSE))=TRUE,IF(CB291&lt;&gt;"",IF(CB291&gt;0,IF(Z$4&lt;&gt;"",MIN(4,RANK(CB291,$CB$111:$CB$300)),RANK(CB291,$CB$111:$CB$300)),""),""),"")</f>
      </c>
      <c s="75">
        <f>IF(ISERROR(VLOOKUP(CV291,$AL$8:$AL$15,1,FALSE))=TRUE,IF(AND(ISERROR(FIND("NeighMkt",$CX$102))=FALSE,LEFT($CW$111,10)="ALL OUTLET",$CA291&lt;&gt;"",DK291&lt;&gt;""),"",IF(AND($CV291&lt;&gt;$CW291,$CW291=CD$110),$DK291,"")),"")</f>
      </c>
      <c s="76">
        <f>IF(ISERROR(VLOOKUP(CV291,$AL$8:$AL$15,1,FALSE))=TRUE,IF(CD291&lt;&gt;"",IF(CD291&gt;0,RANK(CD291,$CD$111:$CD$300),""),""),"")</f>
      </c>
      <c s="75">
        <f>IF(ISERROR(VLOOKUP(CV291,$AL$8:$AL$15,1,FALSE))=TRUE,IF(AND(ISERROR(FIND("NeighMkt",$CX$102))=FALSE,LEFT($CW$111,10)="ALL OUTLET",$CA291&lt;&gt;"",DK291&lt;&gt;""),"",IF(AND($CV291&lt;&gt;$CW291,$CW291=CF$110),$DK291,"")),"")</f>
      </c>
      <c s="76">
        <f>IF(ISERROR(VLOOKUP(CV291,$AL$8:$AL$15,1,FALSE))=TRUE,IF(CF291&lt;&gt;"",IF(CF291&gt;0,RANK(CF291,$CF$111:$CF$300),""),""),"")</f>
      </c>
      <c s="75">
        <f>IF(ISERROR(VLOOKUP(CV291,$AL$8:$AL$15,1,FALSE))=TRUE,IF(AND(ISERROR(FIND("NeighMkt",$CX$102))=FALSE,LEFT($CW$111,10)="ALL OUTLET",$CA291&lt;&gt;"",DK291&lt;&gt;""),"",IF(AND($CV291&lt;&gt;$CW291,$CW291=CH$110),$DK291,"")),"")</f>
      </c>
      <c s="76">
        <f>IF(ISERROR(VLOOKUP(CV291,$AL$8:$AL$15,1,FALSE))=TRUE,IF(CH291&lt;&gt;"",IF(CH291&gt;0,RANK(CH291,$CH$111:$CH$300),""),""),"")</f>
      </c>
      <c s="75">
        <f>IF(ISERROR(VLOOKUP(CV291,$AL$8:$AL$15,1,FALSE))=TRUE,IF(AND(ISERROR(FIND("NeighMkt",$CX$102))=FALSE,LEFT($CW$111,10)="ALL OUTLET",$CA291&lt;&gt;"",DK291&lt;&gt;""),"",IF($Z$4="",IF(AND($CV291&lt;&gt;$CW291,$CW291=CJ$110),$DK291,""),IF(AND($CV291&lt;&gt;$CW291,$CW291&lt;&gt;CD$110,$CW291&lt;&gt;CF$110,$CW291&lt;&gt;CH$110,$CW291&lt;&gt;$CV$111),$DK291,""))),"")</f>
      </c>
      <c s="76">
        <f>IF(ISERROR(VLOOKUP(CV291,$AL$8:$AL$15,1,FALSE))=TRUE,IF(CJ291&lt;&gt;"",IF(CJ291&gt;0,RANK(CJ291,$CJ$111:$CJ$300),""),""),"")</f>
      </c>
      <c s="75">
        <f>IF(ISERROR(VLOOKUP(CV291,$AL$8:$AL$15,1,FALSE))=TRUE,IF(AND(CV291=CW291,CV291&lt;&gt;"",DJ291&lt;&gt;""),IF(AND(ISERROR(FIND("NeighMkt",$CX$102))=FALSE,LEFT($CW$111,10)="ALL OUTLET"),DJ291-IF(ISERROR(VLOOKUP(CV291,$CA$113:$DK$300,36,FALSE))=TRUE,0,IF(VLOOKUP(CV291,$CA$113:$DK$300,36,FALSE)="",0,VLOOKUP(CV291,$CA$113:$DK$300,36,FALSE))),DJ291),""),"")</f>
      </c>
      <c s="76">
        <f>IF(ISERROR(VLOOKUP(CV291,$AL$8:$AL$15,1,FALSE))=TRUE,IF(CL291&lt;&gt;"",IF(CL291&gt;0,IF($Z$4&lt;&gt;"",MIN(4,RANK(CL291,$CL$111:$CL$300)),RANK(CL291,$CL$111:$CL$300)),""),""),"")</f>
      </c>
      <c s="75">
        <f>IF(ISERROR(VLOOKUP(CV291,$AL$8:$AL$15,1,FALSE))=TRUE,IF(AND(ISERROR(FIND("NeighMkt",$CX$102))=FALSE,LEFT($CW$111,10)="ALL OUTLET",$CA291&lt;&gt;"",DJ291&lt;&gt;""),"",IF(AND($CV291&lt;&gt;$CW291,$CW291=CN$110),$DJ291,"")),"")</f>
      </c>
      <c s="76">
        <f>IF(ISERROR(VLOOKUP(CV291,$AL$8:$AL$15,1,FALSE))=TRUE,IF(CN291&lt;&gt;"",IF(CN291&gt;0,RANK(CN291,$CN$111:$CN$300),""),""),"")</f>
      </c>
      <c s="75">
        <f>IF(ISERROR(VLOOKUP(CV291,$AL$8:$AL$15,1,FALSE))=TRUE,IF(AND(ISERROR(FIND("NeighMkt",$CX$102))=FALSE,LEFT($CW$111,10)="ALL OUTLET",$CA291&lt;&gt;"",DJ291&lt;&gt;""),"",IF(AND($CV291&lt;&gt;$CW291,$CW291=CP$110),$DJ291,"")),"")</f>
      </c>
      <c s="76">
        <f>IF(ISERROR(VLOOKUP(CV291,$AL$8:$AL$15,1,FALSE))=TRUE,IF(CP291&lt;&gt;"",IF(CP291&gt;0,RANK(CP291,$CP$111:$CP$300),""),""),"")</f>
      </c>
      <c s="75">
        <f>IF(ISERROR(VLOOKUP(CV291,$AL$8:$AL$15,1,FALSE))=TRUE,IF(AND(ISERROR(FIND("NeighMkt",$CX$102))=FALSE,LEFT($CW$111,10)="ALL OUTLET",$CA291&lt;&gt;"",DJ291&lt;&gt;""),"",IF(AND($CV291&lt;&gt;$CW291,$CW291=CR$110),$DJ291,"")),"")</f>
      </c>
      <c s="76">
        <f>IF(ISERROR(VLOOKUP(CV291,$AL$8:$AL$15,1,FALSE))=TRUE,IF(CR291&lt;&gt;"",IF(CR291&gt;0,RANK(CR291,$CR$111:$CR$300),""),""),"")</f>
      </c>
      <c s="75">
        <f>IF(ISERROR(VLOOKUP(CV291,$AL$8:$AL$15,1,FALSE))=TRUE,IF(AND(ISERROR(FIND("NeighMkt",$CX$102))=FALSE,LEFT($CW$111,10)="ALL OUTLET",$CA291&lt;&gt;"",DJ291&lt;&gt;""),"",IF($Z$4="",IF(AND($CV291&lt;&gt;$CW291,$CW291=CT$110),$DJ291,""),IF(AND($CV291&lt;&gt;$CW291,$CW291&lt;&gt;CN$110,$CW291&lt;&gt;CP$110,$CW291&lt;&gt;CR$110,$CW291&lt;&gt;$CV$111),$DJ291,""))),"")</f>
      </c>
      <c s="76">
        <f>IF(ISERROR(VLOOKUP(CV291,$AL$8:$AL$15,1,FALSE))=TRUE,IF(CT291&lt;&gt;"",IF(CT291&gt;0,RANK(CT291,$CT$111:$CT$300),""),""),"")</f>
      </c>
      <c s="65">
        <f t="shared" si="47"/>
      </c>
      <c s="65">
        <f t="shared" si="48"/>
      </c>
      <c s="72">
        <f>IF('[1]Leakage Tree Data'!A190&lt;&gt;"",'[1]Leakage Tree Data'!A190,"")</f>
      </c>
      <c s="72">
        <f>IF('[1]Leakage Tree Data'!B190&lt;&gt;"",'[1]Leakage Tree Data'!B190,"")</f>
      </c>
      <c s="72">
        <f>IF('[1]Leakage Tree Data'!C190&lt;&gt;"",'[1]Leakage Tree Data'!C190,"")</f>
      </c>
      <c s="72">
        <f>IF('[1]Leakage Tree Data'!D190&lt;&gt;"",'[1]Leakage Tree Data'!D190,"")</f>
      </c>
      <c s="72">
        <f>IF('[1]Leakage Tree Data'!E190&lt;&gt;"",'[1]Leakage Tree Data'!E190,"")</f>
      </c>
      <c s="72">
        <f>IF('[1]Leakage Tree Data'!F190&lt;&gt;"",'[1]Leakage Tree Data'!F190,"")</f>
      </c>
      <c s="72">
        <f>IF('[1]Leakage Tree Data'!G190&lt;&gt;"",'[1]Leakage Tree Data'!G190,"")</f>
      </c>
      <c s="72">
        <f>IF('[1]Leakage Tree Data'!H190&lt;&gt;"",'[1]Leakage Tree Data'!H190,"")</f>
      </c>
      <c s="72">
        <f>IF('[1]Leakage Tree Data'!I190&lt;&gt;"",'[1]Leakage Tree Data'!I190,"")</f>
      </c>
      <c s="72">
        <f>IF('[1]Leakage Tree Data'!J190&lt;&gt;"",'[1]Leakage Tree Data'!J190,"")</f>
      </c>
      <c s="72">
        <f>IF('[1]Leakage Tree Data'!K190&lt;&gt;"",'[1]Leakage Tree Data'!K190,"")</f>
      </c>
      <c s="72">
        <f>IF('[1]Leakage Tree Data'!L190&lt;&gt;"",'[1]Leakage Tree Data'!L190,"")</f>
      </c>
      <c s="72">
        <f>IF('[1]Leakage Tree Data'!M190&lt;&gt;"",'[1]Leakage Tree Data'!M190,"")</f>
      </c>
      <c s="72">
        <f>IF('[1]Leakage Tree Data'!N190&lt;&gt;"",'[1]Leakage Tree Data'!N190,"")</f>
      </c>
      <c s="72">
        <f>IF('[1]Leakage Tree Data'!O190&lt;&gt;"",'[1]Leakage Tree Data'!O190,"")</f>
      </c>
      <c s="72">
        <f>IF('[1]Leakage Tree Data'!P190&lt;&gt;"",'[1]Leakage Tree Data'!P190,"")</f>
      </c>
      <c s="72">
        <f>IF('[1]Leakage Tree Data'!Q190&lt;&gt;"",'[1]Leakage Tree Data'!Q190,"")</f>
      </c>
      <c s="72">
        <f>IF('[1]Leakage Tree Data'!R190&lt;&gt;"",'[1]Leakage Tree Data'!R190,"")</f>
      </c>
      <c s="72">
        <f>IF('[1]Leakage Tree Data'!S190&lt;&gt;"",'[1]Leakage Tree Data'!S190,"")</f>
      </c>
      <c s="72">
        <f>IF('[1]Leakage Tree Data'!T190&lt;&gt;"",'[1]Leakage Tree Data'!T190,"")</f>
      </c>
      <c s="72">
        <f>IF('[1]Leakage Tree Data'!U190&lt;&gt;"",'[1]Leakage Tree Data'!U190,"")</f>
      </c>
      <c s="72">
        <f>IF('[1]Leakage Tree Data'!V190&lt;&gt;"",'[1]Leakage Tree Data'!V190,"")</f>
      </c>
      <c s="72">
        <f>IF('[1]Leakage Tree Data'!W190&lt;&gt;"",'[1]Leakage Tree Data'!W190,"")</f>
      </c>
      <c s="72">
        <f>IF('[1]Leakage Tree Data'!X190&lt;&gt;"",'[1]Leakage Tree Data'!X190,"")</f>
      </c>
      <c s="72">
        <f>IF('[1]Leakage Tree Data'!Y190&lt;&gt;"",'[1]Leakage Tree Data'!Y190,"")</f>
      </c>
      <c s="72">
        <f>IF('[1]Leakage Tree Data'!Z190&lt;&gt;"",'[1]Leakage Tree Data'!Z190,"")</f>
      </c>
      <c s="72">
        <f>IF('[1]Leakage Tree Data'!AA190&lt;&gt;"",'[1]Leakage Tree Data'!AA190,"")</f>
      </c>
      <c s="72">
        <f>IF('[1]Leakage Tree Data'!AB190&lt;&gt;"",'[1]Leakage Tree Data'!AB190,"")</f>
      </c>
      <c s="72">
        <f>IF('[1]Leakage Tree Data'!AC190&lt;&gt;"",'[1]Leakage Tree Data'!AC190,"")</f>
      </c>
      <c s="72">
        <f>IF('[1]Leakage Tree Data'!AD190&lt;&gt;"",'[1]Leakage Tree Data'!AD190,"")</f>
      </c>
      <c s="72">
        <f>IF('[1]Leakage Tree Data'!AE190&lt;&gt;"",'[1]Leakage Tree Data'!AE190,"")</f>
      </c>
      <c s="73">
        <f t="shared" si="49"/>
      </c>
      <c s="73">
        <f t="shared" si="50"/>
      </c>
      <c s="73">
        <f t="shared" si="51"/>
      </c>
      <c s="73">
        <f t="shared" si="52"/>
      </c>
      <c s="74">
        <f t="shared" si="53"/>
      </c>
      <c s="74">
        <f t="shared" si="54"/>
      </c>
      <c s="69">
        <f t="shared" si="55"/>
      </c>
      <c s="69">
        <f t="shared" si="56"/>
      </c>
    </row>
    <row r="292" spans="1:140" s="92" customFormat="1" ht="15">
      <c r="A292"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292,$AL$8:$AL$15,1,FALSE))=TRUE,IF(AND(CV292=CW292,CV292&lt;&gt;"",DI$111&lt;&gt;"",DK292&lt;&gt;""),IF(CW$101="Y",DK292-IF(ISERROR(VLOOKUP(CV292,$CA$113:$DK$300,37,FALSE))=TRUE,0,IF(VLOOKUP(CV292,$CA$113:$DK$300,37,FALSE)="",0,VLOOKUP(CV292,$CA$113:$DK$300,37,FALSE))),DK292-IF(AND(CW$102="Y",CV292=$CW$111),DI$111,0)),""),"")</f>
      </c>
      <c s="76">
        <f>IF(ISERROR(VLOOKUP(CV292,$AL$8:$AL$15,1,FALSE))=TRUE,IF(CB292&lt;&gt;"",IF(CB292&gt;0,IF(Z$4&lt;&gt;"",MIN(4,RANK(CB292,$CB$111:$CB$300)),RANK(CB292,$CB$111:$CB$300)),""),""),"")</f>
      </c>
      <c s="75">
        <f>IF(ISERROR(VLOOKUP(CV292,$AL$8:$AL$15,1,FALSE))=TRUE,IF(AND(ISERROR(FIND("NeighMkt",$CX$102))=FALSE,LEFT($CW$111,10)="ALL OUTLET",$CA292&lt;&gt;"",DK292&lt;&gt;""),"",IF(AND($CV292&lt;&gt;$CW292,$CW292=CD$110),$DK292,"")),"")</f>
      </c>
      <c s="76">
        <f>IF(ISERROR(VLOOKUP(CV292,$AL$8:$AL$15,1,FALSE))=TRUE,IF(CD292&lt;&gt;"",IF(CD292&gt;0,RANK(CD292,$CD$111:$CD$300),""),""),"")</f>
      </c>
      <c s="75">
        <f>IF(ISERROR(VLOOKUP(CV292,$AL$8:$AL$15,1,FALSE))=TRUE,IF(AND(ISERROR(FIND("NeighMkt",$CX$102))=FALSE,LEFT($CW$111,10)="ALL OUTLET",$CA292&lt;&gt;"",DK292&lt;&gt;""),"",IF(AND($CV292&lt;&gt;$CW292,$CW292=CF$110),$DK292,"")),"")</f>
      </c>
      <c s="76">
        <f>IF(ISERROR(VLOOKUP(CV292,$AL$8:$AL$15,1,FALSE))=TRUE,IF(CF292&lt;&gt;"",IF(CF292&gt;0,RANK(CF292,$CF$111:$CF$300),""),""),"")</f>
      </c>
      <c s="75">
        <f>IF(ISERROR(VLOOKUP(CV292,$AL$8:$AL$15,1,FALSE))=TRUE,IF(AND(ISERROR(FIND("NeighMkt",$CX$102))=FALSE,LEFT($CW$111,10)="ALL OUTLET",$CA292&lt;&gt;"",DK292&lt;&gt;""),"",IF(AND($CV292&lt;&gt;$CW292,$CW292=CH$110),$DK292,"")),"")</f>
      </c>
      <c s="76">
        <f>IF(ISERROR(VLOOKUP(CV292,$AL$8:$AL$15,1,FALSE))=TRUE,IF(CH292&lt;&gt;"",IF(CH292&gt;0,RANK(CH292,$CH$111:$CH$300),""),""),"")</f>
      </c>
      <c s="75">
        <f>IF(ISERROR(VLOOKUP(CV292,$AL$8:$AL$15,1,FALSE))=TRUE,IF(AND(ISERROR(FIND("NeighMkt",$CX$102))=FALSE,LEFT($CW$111,10)="ALL OUTLET",$CA292&lt;&gt;"",DK292&lt;&gt;""),"",IF($Z$4="",IF(AND($CV292&lt;&gt;$CW292,$CW292=CJ$110),$DK292,""),IF(AND($CV292&lt;&gt;$CW292,$CW292&lt;&gt;CD$110,$CW292&lt;&gt;CF$110,$CW292&lt;&gt;CH$110,$CW292&lt;&gt;$CV$111),$DK292,""))),"")</f>
      </c>
      <c s="76">
        <f>IF(ISERROR(VLOOKUP(CV292,$AL$8:$AL$15,1,FALSE))=TRUE,IF(CJ292&lt;&gt;"",IF(CJ292&gt;0,RANK(CJ292,$CJ$111:$CJ$300),""),""),"")</f>
      </c>
      <c s="75">
        <f>IF(ISERROR(VLOOKUP(CV292,$AL$8:$AL$15,1,FALSE))=TRUE,IF(AND(CV292=CW292,CV292&lt;&gt;"",DJ292&lt;&gt;""),IF(AND(ISERROR(FIND("NeighMkt",$CX$102))=FALSE,LEFT($CW$111,10)="ALL OUTLET"),DJ292-IF(ISERROR(VLOOKUP(CV292,$CA$113:$DK$300,36,FALSE))=TRUE,0,IF(VLOOKUP(CV292,$CA$113:$DK$300,36,FALSE)="",0,VLOOKUP(CV292,$CA$113:$DK$300,36,FALSE))),DJ292),""),"")</f>
      </c>
      <c s="76">
        <f>IF(ISERROR(VLOOKUP(CV292,$AL$8:$AL$15,1,FALSE))=TRUE,IF(CL292&lt;&gt;"",IF(CL292&gt;0,IF($Z$4&lt;&gt;"",MIN(4,RANK(CL292,$CL$111:$CL$300)),RANK(CL292,$CL$111:$CL$300)),""),""),"")</f>
      </c>
      <c s="75">
        <f>IF(ISERROR(VLOOKUP(CV292,$AL$8:$AL$15,1,FALSE))=TRUE,IF(AND(ISERROR(FIND("NeighMkt",$CX$102))=FALSE,LEFT($CW$111,10)="ALL OUTLET",$CA292&lt;&gt;"",DJ292&lt;&gt;""),"",IF(AND($CV292&lt;&gt;$CW292,$CW292=CN$110),$DJ292,"")),"")</f>
      </c>
      <c s="76">
        <f>IF(ISERROR(VLOOKUP(CV292,$AL$8:$AL$15,1,FALSE))=TRUE,IF(CN292&lt;&gt;"",IF(CN292&gt;0,RANK(CN292,$CN$111:$CN$300),""),""),"")</f>
      </c>
      <c s="75">
        <f>IF(ISERROR(VLOOKUP(CV292,$AL$8:$AL$15,1,FALSE))=TRUE,IF(AND(ISERROR(FIND("NeighMkt",$CX$102))=FALSE,LEFT($CW$111,10)="ALL OUTLET",$CA292&lt;&gt;"",DJ292&lt;&gt;""),"",IF(AND($CV292&lt;&gt;$CW292,$CW292=CP$110),$DJ292,"")),"")</f>
      </c>
      <c s="76">
        <f>IF(ISERROR(VLOOKUP(CV292,$AL$8:$AL$15,1,FALSE))=TRUE,IF(CP292&lt;&gt;"",IF(CP292&gt;0,RANK(CP292,$CP$111:$CP$300),""),""),"")</f>
      </c>
      <c s="75">
        <f>IF(ISERROR(VLOOKUP(CV292,$AL$8:$AL$15,1,FALSE))=TRUE,IF(AND(ISERROR(FIND("NeighMkt",$CX$102))=FALSE,LEFT($CW$111,10)="ALL OUTLET",$CA292&lt;&gt;"",DJ292&lt;&gt;""),"",IF(AND($CV292&lt;&gt;$CW292,$CW292=CR$110),$DJ292,"")),"")</f>
      </c>
      <c s="76">
        <f>IF(ISERROR(VLOOKUP(CV292,$AL$8:$AL$15,1,FALSE))=TRUE,IF(CR292&lt;&gt;"",IF(CR292&gt;0,RANK(CR292,$CR$111:$CR$300),""),""),"")</f>
      </c>
      <c s="75">
        <f>IF(ISERROR(VLOOKUP(CV292,$AL$8:$AL$15,1,FALSE))=TRUE,IF(AND(ISERROR(FIND("NeighMkt",$CX$102))=FALSE,LEFT($CW$111,10)="ALL OUTLET",$CA292&lt;&gt;"",DJ292&lt;&gt;""),"",IF($Z$4="",IF(AND($CV292&lt;&gt;$CW292,$CW292=CT$110),$DJ292,""),IF(AND($CV292&lt;&gt;$CW292,$CW292&lt;&gt;CN$110,$CW292&lt;&gt;CP$110,$CW292&lt;&gt;CR$110,$CW292&lt;&gt;$CV$111),$DJ292,""))),"")</f>
      </c>
      <c s="76">
        <f>IF(ISERROR(VLOOKUP(CV292,$AL$8:$AL$15,1,FALSE))=TRUE,IF(CT292&lt;&gt;"",IF(CT292&gt;0,RANK(CT292,$CT$111:$CT$300),""),""),"")</f>
      </c>
      <c s="65">
        <f t="shared" si="47"/>
      </c>
      <c s="65">
        <f t="shared" si="48"/>
      </c>
      <c s="72">
        <f>IF('[1]Leakage Tree Data'!A191&lt;&gt;"",'[1]Leakage Tree Data'!A191,"")</f>
      </c>
      <c s="72">
        <f>IF('[1]Leakage Tree Data'!B191&lt;&gt;"",'[1]Leakage Tree Data'!B191,"")</f>
      </c>
      <c s="72">
        <f>IF('[1]Leakage Tree Data'!C191&lt;&gt;"",'[1]Leakage Tree Data'!C191,"")</f>
      </c>
      <c s="72">
        <f>IF('[1]Leakage Tree Data'!D191&lt;&gt;"",'[1]Leakage Tree Data'!D191,"")</f>
      </c>
      <c s="72">
        <f>IF('[1]Leakage Tree Data'!E191&lt;&gt;"",'[1]Leakage Tree Data'!E191,"")</f>
      </c>
      <c s="72">
        <f>IF('[1]Leakage Tree Data'!F191&lt;&gt;"",'[1]Leakage Tree Data'!F191,"")</f>
      </c>
      <c s="72">
        <f>IF('[1]Leakage Tree Data'!G191&lt;&gt;"",'[1]Leakage Tree Data'!G191,"")</f>
      </c>
      <c s="72">
        <f>IF('[1]Leakage Tree Data'!H191&lt;&gt;"",'[1]Leakage Tree Data'!H191,"")</f>
      </c>
      <c s="72">
        <f>IF('[1]Leakage Tree Data'!I191&lt;&gt;"",'[1]Leakage Tree Data'!I191,"")</f>
      </c>
      <c s="72">
        <f>IF('[1]Leakage Tree Data'!J191&lt;&gt;"",'[1]Leakage Tree Data'!J191,"")</f>
      </c>
      <c s="72">
        <f>IF('[1]Leakage Tree Data'!K191&lt;&gt;"",'[1]Leakage Tree Data'!K191,"")</f>
      </c>
      <c s="72">
        <f>IF('[1]Leakage Tree Data'!L191&lt;&gt;"",'[1]Leakage Tree Data'!L191,"")</f>
      </c>
      <c s="72">
        <f>IF('[1]Leakage Tree Data'!M191&lt;&gt;"",'[1]Leakage Tree Data'!M191,"")</f>
      </c>
      <c s="72">
        <f>IF('[1]Leakage Tree Data'!N191&lt;&gt;"",'[1]Leakage Tree Data'!N191,"")</f>
      </c>
      <c s="72">
        <f>IF('[1]Leakage Tree Data'!O191&lt;&gt;"",'[1]Leakage Tree Data'!O191,"")</f>
      </c>
      <c s="72">
        <f>IF('[1]Leakage Tree Data'!P191&lt;&gt;"",'[1]Leakage Tree Data'!P191,"")</f>
      </c>
      <c s="72">
        <f>IF('[1]Leakage Tree Data'!Q191&lt;&gt;"",'[1]Leakage Tree Data'!Q191,"")</f>
      </c>
      <c s="72">
        <f>IF('[1]Leakage Tree Data'!R191&lt;&gt;"",'[1]Leakage Tree Data'!R191,"")</f>
      </c>
      <c s="72">
        <f>IF('[1]Leakage Tree Data'!S191&lt;&gt;"",'[1]Leakage Tree Data'!S191,"")</f>
      </c>
      <c s="72">
        <f>IF('[1]Leakage Tree Data'!T191&lt;&gt;"",'[1]Leakage Tree Data'!T191,"")</f>
      </c>
      <c s="72">
        <f>IF('[1]Leakage Tree Data'!U191&lt;&gt;"",'[1]Leakage Tree Data'!U191,"")</f>
      </c>
      <c s="72">
        <f>IF('[1]Leakage Tree Data'!V191&lt;&gt;"",'[1]Leakage Tree Data'!V191,"")</f>
      </c>
      <c s="72">
        <f>IF('[1]Leakage Tree Data'!W191&lt;&gt;"",'[1]Leakage Tree Data'!W191,"")</f>
      </c>
      <c s="72">
        <f>IF('[1]Leakage Tree Data'!X191&lt;&gt;"",'[1]Leakage Tree Data'!X191,"")</f>
      </c>
      <c s="72">
        <f>IF('[1]Leakage Tree Data'!Y191&lt;&gt;"",'[1]Leakage Tree Data'!Y191,"")</f>
      </c>
      <c s="72">
        <f>IF('[1]Leakage Tree Data'!Z191&lt;&gt;"",'[1]Leakage Tree Data'!Z191,"")</f>
      </c>
      <c s="72">
        <f>IF('[1]Leakage Tree Data'!AA191&lt;&gt;"",'[1]Leakage Tree Data'!AA191,"")</f>
      </c>
      <c s="72">
        <f>IF('[1]Leakage Tree Data'!AB191&lt;&gt;"",'[1]Leakage Tree Data'!AB191,"")</f>
      </c>
      <c s="72">
        <f>IF('[1]Leakage Tree Data'!AC191&lt;&gt;"",'[1]Leakage Tree Data'!AC191,"")</f>
      </c>
      <c s="72">
        <f>IF('[1]Leakage Tree Data'!AD191&lt;&gt;"",'[1]Leakage Tree Data'!AD191,"")</f>
      </c>
      <c s="72">
        <f>IF('[1]Leakage Tree Data'!AE191&lt;&gt;"",'[1]Leakage Tree Data'!AE191,"")</f>
      </c>
      <c s="73">
        <f t="shared" si="49"/>
      </c>
      <c s="73">
        <f t="shared" si="50"/>
      </c>
      <c s="73">
        <f t="shared" si="51"/>
      </c>
      <c s="73">
        <f t="shared" si="52"/>
      </c>
      <c s="74">
        <f t="shared" si="53"/>
      </c>
      <c s="74">
        <f t="shared" si="54"/>
      </c>
      <c s="69">
        <f t="shared" si="55"/>
      </c>
      <c s="69">
        <f t="shared" si="56"/>
      </c>
    </row>
    <row r="293" spans="1:140" s="92" customFormat="1" ht="15">
      <c r="A293"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293,$AL$8:$AL$15,1,FALSE))=TRUE,IF(AND(CV293=CW293,CV293&lt;&gt;"",DI$111&lt;&gt;"",DK293&lt;&gt;""),IF(CW$101="Y",DK293-IF(ISERROR(VLOOKUP(CV293,$CA$113:$DK$300,37,FALSE))=TRUE,0,IF(VLOOKUP(CV293,$CA$113:$DK$300,37,FALSE)="",0,VLOOKUP(CV293,$CA$113:$DK$300,37,FALSE))),DK293-IF(AND(CW$102="Y",CV293=$CW$111),DI$111,0)),""),"")</f>
      </c>
      <c s="76">
        <f>IF(ISERROR(VLOOKUP(CV293,$AL$8:$AL$15,1,FALSE))=TRUE,IF(CB293&lt;&gt;"",IF(CB293&gt;0,IF(Z$4&lt;&gt;"",MIN(4,RANK(CB293,$CB$111:$CB$300)),RANK(CB293,$CB$111:$CB$300)),""),""),"")</f>
      </c>
      <c s="75">
        <f>IF(ISERROR(VLOOKUP(CV293,$AL$8:$AL$15,1,FALSE))=TRUE,IF(AND(ISERROR(FIND("NeighMkt",$CX$102))=FALSE,LEFT($CW$111,10)="ALL OUTLET",$CA293&lt;&gt;"",DK293&lt;&gt;""),"",IF(AND($CV293&lt;&gt;$CW293,$CW293=CD$110),$DK293,"")),"")</f>
      </c>
      <c s="76">
        <f>IF(ISERROR(VLOOKUP(CV293,$AL$8:$AL$15,1,FALSE))=TRUE,IF(CD293&lt;&gt;"",IF(CD293&gt;0,RANK(CD293,$CD$111:$CD$300),""),""),"")</f>
      </c>
      <c s="75">
        <f>IF(ISERROR(VLOOKUP(CV293,$AL$8:$AL$15,1,FALSE))=TRUE,IF(AND(ISERROR(FIND("NeighMkt",$CX$102))=FALSE,LEFT($CW$111,10)="ALL OUTLET",$CA293&lt;&gt;"",DK293&lt;&gt;""),"",IF(AND($CV293&lt;&gt;$CW293,$CW293=CF$110),$DK293,"")),"")</f>
      </c>
      <c s="76">
        <f>IF(ISERROR(VLOOKUP(CV293,$AL$8:$AL$15,1,FALSE))=TRUE,IF(CF293&lt;&gt;"",IF(CF293&gt;0,RANK(CF293,$CF$111:$CF$300),""),""),"")</f>
      </c>
      <c s="75">
        <f>IF(ISERROR(VLOOKUP(CV293,$AL$8:$AL$15,1,FALSE))=TRUE,IF(AND(ISERROR(FIND("NeighMkt",$CX$102))=FALSE,LEFT($CW$111,10)="ALL OUTLET",$CA293&lt;&gt;"",DK293&lt;&gt;""),"",IF(AND($CV293&lt;&gt;$CW293,$CW293=CH$110),$DK293,"")),"")</f>
      </c>
      <c s="76">
        <f>IF(ISERROR(VLOOKUP(CV293,$AL$8:$AL$15,1,FALSE))=TRUE,IF(CH293&lt;&gt;"",IF(CH293&gt;0,RANK(CH293,$CH$111:$CH$300),""),""),"")</f>
      </c>
      <c s="75">
        <f>IF(ISERROR(VLOOKUP(CV293,$AL$8:$AL$15,1,FALSE))=TRUE,IF(AND(ISERROR(FIND("NeighMkt",$CX$102))=FALSE,LEFT($CW$111,10)="ALL OUTLET",$CA293&lt;&gt;"",DK293&lt;&gt;""),"",IF($Z$4="",IF(AND($CV293&lt;&gt;$CW293,$CW293=CJ$110),$DK293,""),IF(AND($CV293&lt;&gt;$CW293,$CW293&lt;&gt;CD$110,$CW293&lt;&gt;CF$110,$CW293&lt;&gt;CH$110,$CW293&lt;&gt;$CV$111),$DK293,""))),"")</f>
      </c>
      <c s="76">
        <f>IF(ISERROR(VLOOKUP(CV293,$AL$8:$AL$15,1,FALSE))=TRUE,IF(CJ293&lt;&gt;"",IF(CJ293&gt;0,RANK(CJ293,$CJ$111:$CJ$300),""),""),"")</f>
      </c>
      <c s="75">
        <f>IF(ISERROR(VLOOKUP(CV293,$AL$8:$AL$15,1,FALSE))=TRUE,IF(AND(CV293=CW293,CV293&lt;&gt;"",DJ293&lt;&gt;""),IF(AND(ISERROR(FIND("NeighMkt",$CX$102))=FALSE,LEFT($CW$111,10)="ALL OUTLET"),DJ293-IF(ISERROR(VLOOKUP(CV293,$CA$113:$DK$300,36,FALSE))=TRUE,0,IF(VLOOKUP(CV293,$CA$113:$DK$300,36,FALSE)="",0,VLOOKUP(CV293,$CA$113:$DK$300,36,FALSE))),DJ293),""),"")</f>
      </c>
      <c s="76">
        <f>IF(ISERROR(VLOOKUP(CV293,$AL$8:$AL$15,1,FALSE))=TRUE,IF(CL293&lt;&gt;"",IF(CL293&gt;0,IF($Z$4&lt;&gt;"",MIN(4,RANK(CL293,$CL$111:$CL$300)),RANK(CL293,$CL$111:$CL$300)),""),""),"")</f>
      </c>
      <c s="75">
        <f>IF(ISERROR(VLOOKUP(CV293,$AL$8:$AL$15,1,FALSE))=TRUE,IF(AND(ISERROR(FIND("NeighMkt",$CX$102))=FALSE,LEFT($CW$111,10)="ALL OUTLET",$CA293&lt;&gt;"",DJ293&lt;&gt;""),"",IF(AND($CV293&lt;&gt;$CW293,$CW293=CN$110),$DJ293,"")),"")</f>
      </c>
      <c s="76">
        <f>IF(ISERROR(VLOOKUP(CV293,$AL$8:$AL$15,1,FALSE))=TRUE,IF(CN293&lt;&gt;"",IF(CN293&gt;0,RANK(CN293,$CN$111:$CN$300),""),""),"")</f>
      </c>
      <c s="75">
        <f>IF(ISERROR(VLOOKUP(CV293,$AL$8:$AL$15,1,FALSE))=TRUE,IF(AND(ISERROR(FIND("NeighMkt",$CX$102))=FALSE,LEFT($CW$111,10)="ALL OUTLET",$CA293&lt;&gt;"",DJ293&lt;&gt;""),"",IF(AND($CV293&lt;&gt;$CW293,$CW293=CP$110),$DJ293,"")),"")</f>
      </c>
      <c s="76">
        <f>IF(ISERROR(VLOOKUP(CV293,$AL$8:$AL$15,1,FALSE))=TRUE,IF(CP293&lt;&gt;"",IF(CP293&gt;0,RANK(CP293,$CP$111:$CP$300),""),""),"")</f>
      </c>
      <c s="75">
        <f>IF(ISERROR(VLOOKUP(CV293,$AL$8:$AL$15,1,FALSE))=TRUE,IF(AND(ISERROR(FIND("NeighMkt",$CX$102))=FALSE,LEFT($CW$111,10)="ALL OUTLET",$CA293&lt;&gt;"",DJ293&lt;&gt;""),"",IF(AND($CV293&lt;&gt;$CW293,$CW293=CR$110),$DJ293,"")),"")</f>
      </c>
      <c s="76">
        <f>IF(ISERROR(VLOOKUP(CV293,$AL$8:$AL$15,1,FALSE))=TRUE,IF(CR293&lt;&gt;"",IF(CR293&gt;0,RANK(CR293,$CR$111:$CR$300),""),""),"")</f>
      </c>
      <c s="75">
        <f>IF(ISERROR(VLOOKUP(CV293,$AL$8:$AL$15,1,FALSE))=TRUE,IF(AND(ISERROR(FIND("NeighMkt",$CX$102))=FALSE,LEFT($CW$111,10)="ALL OUTLET",$CA293&lt;&gt;"",DJ293&lt;&gt;""),"",IF($Z$4="",IF(AND($CV293&lt;&gt;$CW293,$CW293=CT$110),$DJ293,""),IF(AND($CV293&lt;&gt;$CW293,$CW293&lt;&gt;CN$110,$CW293&lt;&gt;CP$110,$CW293&lt;&gt;CR$110,$CW293&lt;&gt;$CV$111),$DJ293,""))),"")</f>
      </c>
      <c s="76">
        <f>IF(ISERROR(VLOOKUP(CV293,$AL$8:$AL$15,1,FALSE))=TRUE,IF(CT293&lt;&gt;"",IF(CT293&gt;0,RANK(CT293,$CT$111:$CT$300),""),""),"")</f>
      </c>
      <c s="65">
        <f t="shared" si="47"/>
      </c>
      <c s="65">
        <f t="shared" si="48"/>
      </c>
      <c s="72">
        <f>IF('[1]Leakage Tree Data'!A192&lt;&gt;"",'[1]Leakage Tree Data'!A192,"")</f>
      </c>
      <c s="72">
        <f>IF('[1]Leakage Tree Data'!B192&lt;&gt;"",'[1]Leakage Tree Data'!B192,"")</f>
      </c>
      <c s="72">
        <f>IF('[1]Leakage Tree Data'!C192&lt;&gt;"",'[1]Leakage Tree Data'!C192,"")</f>
      </c>
      <c s="72">
        <f>IF('[1]Leakage Tree Data'!D192&lt;&gt;"",'[1]Leakage Tree Data'!D192,"")</f>
      </c>
      <c s="72">
        <f>IF('[1]Leakage Tree Data'!E192&lt;&gt;"",'[1]Leakage Tree Data'!E192,"")</f>
      </c>
      <c s="72">
        <f>IF('[1]Leakage Tree Data'!F192&lt;&gt;"",'[1]Leakage Tree Data'!F192,"")</f>
      </c>
      <c s="72">
        <f>IF('[1]Leakage Tree Data'!G192&lt;&gt;"",'[1]Leakage Tree Data'!G192,"")</f>
      </c>
      <c s="72">
        <f>IF('[1]Leakage Tree Data'!H192&lt;&gt;"",'[1]Leakage Tree Data'!H192,"")</f>
      </c>
      <c s="72">
        <f>IF('[1]Leakage Tree Data'!I192&lt;&gt;"",'[1]Leakage Tree Data'!I192,"")</f>
      </c>
      <c s="72">
        <f>IF('[1]Leakage Tree Data'!J192&lt;&gt;"",'[1]Leakage Tree Data'!J192,"")</f>
      </c>
      <c s="72">
        <f>IF('[1]Leakage Tree Data'!K192&lt;&gt;"",'[1]Leakage Tree Data'!K192,"")</f>
      </c>
      <c s="72">
        <f>IF('[1]Leakage Tree Data'!L192&lt;&gt;"",'[1]Leakage Tree Data'!L192,"")</f>
      </c>
      <c s="72">
        <f>IF('[1]Leakage Tree Data'!M192&lt;&gt;"",'[1]Leakage Tree Data'!M192,"")</f>
      </c>
      <c s="72">
        <f>IF('[1]Leakage Tree Data'!N192&lt;&gt;"",'[1]Leakage Tree Data'!N192,"")</f>
      </c>
      <c s="72">
        <f>IF('[1]Leakage Tree Data'!O192&lt;&gt;"",'[1]Leakage Tree Data'!O192,"")</f>
      </c>
      <c s="72">
        <f>IF('[1]Leakage Tree Data'!P192&lt;&gt;"",'[1]Leakage Tree Data'!P192,"")</f>
      </c>
      <c s="72">
        <f>IF('[1]Leakage Tree Data'!Q192&lt;&gt;"",'[1]Leakage Tree Data'!Q192,"")</f>
      </c>
      <c s="72">
        <f>IF('[1]Leakage Tree Data'!R192&lt;&gt;"",'[1]Leakage Tree Data'!R192,"")</f>
      </c>
      <c s="72">
        <f>IF('[1]Leakage Tree Data'!S192&lt;&gt;"",'[1]Leakage Tree Data'!S192,"")</f>
      </c>
      <c s="72">
        <f>IF('[1]Leakage Tree Data'!T192&lt;&gt;"",'[1]Leakage Tree Data'!T192,"")</f>
      </c>
      <c s="72">
        <f>IF('[1]Leakage Tree Data'!U192&lt;&gt;"",'[1]Leakage Tree Data'!U192,"")</f>
      </c>
      <c s="72">
        <f>IF('[1]Leakage Tree Data'!V192&lt;&gt;"",'[1]Leakage Tree Data'!V192,"")</f>
      </c>
      <c s="72">
        <f>IF('[1]Leakage Tree Data'!W192&lt;&gt;"",'[1]Leakage Tree Data'!W192,"")</f>
      </c>
      <c s="72">
        <f>IF('[1]Leakage Tree Data'!X192&lt;&gt;"",'[1]Leakage Tree Data'!X192,"")</f>
      </c>
      <c s="72">
        <f>IF('[1]Leakage Tree Data'!Y192&lt;&gt;"",'[1]Leakage Tree Data'!Y192,"")</f>
      </c>
      <c s="72">
        <f>IF('[1]Leakage Tree Data'!Z192&lt;&gt;"",'[1]Leakage Tree Data'!Z192,"")</f>
      </c>
      <c s="72">
        <f>IF('[1]Leakage Tree Data'!AA192&lt;&gt;"",'[1]Leakage Tree Data'!AA192,"")</f>
      </c>
      <c s="72">
        <f>IF('[1]Leakage Tree Data'!AB192&lt;&gt;"",'[1]Leakage Tree Data'!AB192,"")</f>
      </c>
      <c s="72">
        <f>IF('[1]Leakage Tree Data'!AC192&lt;&gt;"",'[1]Leakage Tree Data'!AC192,"")</f>
      </c>
      <c s="72">
        <f>IF('[1]Leakage Tree Data'!AD192&lt;&gt;"",'[1]Leakage Tree Data'!AD192,"")</f>
      </c>
      <c s="72">
        <f>IF('[1]Leakage Tree Data'!AE192&lt;&gt;"",'[1]Leakage Tree Data'!AE192,"")</f>
      </c>
      <c s="73">
        <f t="shared" si="49"/>
      </c>
      <c s="73">
        <f t="shared" si="50"/>
      </c>
      <c s="73">
        <f t="shared" si="51"/>
      </c>
      <c s="73">
        <f t="shared" si="52"/>
      </c>
      <c s="74">
        <f t="shared" si="53"/>
      </c>
      <c s="74">
        <f t="shared" si="54"/>
      </c>
      <c s="69">
        <f t="shared" si="55"/>
      </c>
      <c s="69">
        <f t="shared" si="56"/>
      </c>
    </row>
    <row r="294" spans="1:140" s="92" customFormat="1" ht="15">
      <c r="A294"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294,$AL$8:$AL$15,1,FALSE))=TRUE,IF(AND(CV294=CW294,CV294&lt;&gt;"",DI$111&lt;&gt;"",DK294&lt;&gt;""),IF(CW$101="Y",DK294-IF(ISERROR(VLOOKUP(CV294,$CA$113:$DK$300,37,FALSE))=TRUE,0,IF(VLOOKUP(CV294,$CA$113:$DK$300,37,FALSE)="",0,VLOOKUP(CV294,$CA$113:$DK$300,37,FALSE))),DK294-IF(AND(CW$102="Y",CV294=$CW$111),DI$111,0)),""),"")</f>
      </c>
      <c s="76">
        <f>IF(ISERROR(VLOOKUP(CV294,$AL$8:$AL$15,1,FALSE))=TRUE,IF(CB294&lt;&gt;"",IF(CB294&gt;0,IF(Z$4&lt;&gt;"",MIN(4,RANK(CB294,$CB$111:$CB$300)),RANK(CB294,$CB$111:$CB$300)),""),""),"")</f>
      </c>
      <c s="75">
        <f>IF(ISERROR(VLOOKUP(CV294,$AL$8:$AL$15,1,FALSE))=TRUE,IF(AND(ISERROR(FIND("NeighMkt",$CX$102))=FALSE,LEFT($CW$111,10)="ALL OUTLET",$CA294&lt;&gt;"",DK294&lt;&gt;""),"",IF(AND($CV294&lt;&gt;$CW294,$CW294=CD$110),$DK294,"")),"")</f>
      </c>
      <c s="76">
        <f>IF(ISERROR(VLOOKUP(CV294,$AL$8:$AL$15,1,FALSE))=TRUE,IF(CD294&lt;&gt;"",IF(CD294&gt;0,RANK(CD294,$CD$111:$CD$300),""),""),"")</f>
      </c>
      <c s="75">
        <f>IF(ISERROR(VLOOKUP(CV294,$AL$8:$AL$15,1,FALSE))=TRUE,IF(AND(ISERROR(FIND("NeighMkt",$CX$102))=FALSE,LEFT($CW$111,10)="ALL OUTLET",$CA294&lt;&gt;"",DK294&lt;&gt;""),"",IF(AND($CV294&lt;&gt;$CW294,$CW294=CF$110),$DK294,"")),"")</f>
      </c>
      <c s="76">
        <f>IF(ISERROR(VLOOKUP(CV294,$AL$8:$AL$15,1,FALSE))=TRUE,IF(CF294&lt;&gt;"",IF(CF294&gt;0,RANK(CF294,$CF$111:$CF$300),""),""),"")</f>
      </c>
      <c s="75">
        <f>IF(ISERROR(VLOOKUP(CV294,$AL$8:$AL$15,1,FALSE))=TRUE,IF(AND(ISERROR(FIND("NeighMkt",$CX$102))=FALSE,LEFT($CW$111,10)="ALL OUTLET",$CA294&lt;&gt;"",DK294&lt;&gt;""),"",IF(AND($CV294&lt;&gt;$CW294,$CW294=CH$110),$DK294,"")),"")</f>
      </c>
      <c s="76">
        <f>IF(ISERROR(VLOOKUP(CV294,$AL$8:$AL$15,1,FALSE))=TRUE,IF(CH294&lt;&gt;"",IF(CH294&gt;0,RANK(CH294,$CH$111:$CH$300),""),""),"")</f>
      </c>
      <c s="75">
        <f>IF(ISERROR(VLOOKUP(CV294,$AL$8:$AL$15,1,FALSE))=TRUE,IF(AND(ISERROR(FIND("NeighMkt",$CX$102))=FALSE,LEFT($CW$111,10)="ALL OUTLET",$CA294&lt;&gt;"",DK294&lt;&gt;""),"",IF($Z$4="",IF(AND($CV294&lt;&gt;$CW294,$CW294=CJ$110),$DK294,""),IF(AND($CV294&lt;&gt;$CW294,$CW294&lt;&gt;CD$110,$CW294&lt;&gt;CF$110,$CW294&lt;&gt;CH$110,$CW294&lt;&gt;$CV$111),$DK294,""))),"")</f>
      </c>
      <c s="76">
        <f>IF(ISERROR(VLOOKUP(CV294,$AL$8:$AL$15,1,FALSE))=TRUE,IF(CJ294&lt;&gt;"",IF(CJ294&gt;0,RANK(CJ294,$CJ$111:$CJ$300),""),""),"")</f>
      </c>
      <c s="75">
        <f>IF(ISERROR(VLOOKUP(CV294,$AL$8:$AL$15,1,FALSE))=TRUE,IF(AND(CV294=CW294,CV294&lt;&gt;"",DJ294&lt;&gt;""),IF(AND(ISERROR(FIND("NeighMkt",$CX$102))=FALSE,LEFT($CW$111,10)="ALL OUTLET"),DJ294-IF(ISERROR(VLOOKUP(CV294,$CA$113:$DK$300,36,FALSE))=TRUE,0,IF(VLOOKUP(CV294,$CA$113:$DK$300,36,FALSE)="",0,VLOOKUP(CV294,$CA$113:$DK$300,36,FALSE))),DJ294),""),"")</f>
      </c>
      <c s="76">
        <f>IF(ISERROR(VLOOKUP(CV294,$AL$8:$AL$15,1,FALSE))=TRUE,IF(CL294&lt;&gt;"",IF(CL294&gt;0,IF($Z$4&lt;&gt;"",MIN(4,RANK(CL294,$CL$111:$CL$300)),RANK(CL294,$CL$111:$CL$300)),""),""),"")</f>
      </c>
      <c s="75">
        <f>IF(ISERROR(VLOOKUP(CV294,$AL$8:$AL$15,1,FALSE))=TRUE,IF(AND(ISERROR(FIND("NeighMkt",$CX$102))=FALSE,LEFT($CW$111,10)="ALL OUTLET",$CA294&lt;&gt;"",DJ294&lt;&gt;""),"",IF(AND($CV294&lt;&gt;$CW294,$CW294=CN$110),$DJ294,"")),"")</f>
      </c>
      <c s="76">
        <f>IF(ISERROR(VLOOKUP(CV294,$AL$8:$AL$15,1,FALSE))=TRUE,IF(CN294&lt;&gt;"",IF(CN294&gt;0,RANK(CN294,$CN$111:$CN$300),""),""),"")</f>
      </c>
      <c s="75">
        <f>IF(ISERROR(VLOOKUP(CV294,$AL$8:$AL$15,1,FALSE))=TRUE,IF(AND(ISERROR(FIND("NeighMkt",$CX$102))=FALSE,LEFT($CW$111,10)="ALL OUTLET",$CA294&lt;&gt;"",DJ294&lt;&gt;""),"",IF(AND($CV294&lt;&gt;$CW294,$CW294=CP$110),$DJ294,"")),"")</f>
      </c>
      <c s="76">
        <f>IF(ISERROR(VLOOKUP(CV294,$AL$8:$AL$15,1,FALSE))=TRUE,IF(CP294&lt;&gt;"",IF(CP294&gt;0,RANK(CP294,$CP$111:$CP$300),""),""),"")</f>
      </c>
      <c s="75">
        <f>IF(ISERROR(VLOOKUP(CV294,$AL$8:$AL$15,1,FALSE))=TRUE,IF(AND(ISERROR(FIND("NeighMkt",$CX$102))=FALSE,LEFT($CW$111,10)="ALL OUTLET",$CA294&lt;&gt;"",DJ294&lt;&gt;""),"",IF(AND($CV294&lt;&gt;$CW294,$CW294=CR$110),$DJ294,"")),"")</f>
      </c>
      <c s="76">
        <f>IF(ISERROR(VLOOKUP(CV294,$AL$8:$AL$15,1,FALSE))=TRUE,IF(CR294&lt;&gt;"",IF(CR294&gt;0,RANK(CR294,$CR$111:$CR$300),""),""),"")</f>
      </c>
      <c s="75">
        <f>IF(ISERROR(VLOOKUP(CV294,$AL$8:$AL$15,1,FALSE))=TRUE,IF(AND(ISERROR(FIND("NeighMkt",$CX$102))=FALSE,LEFT($CW$111,10)="ALL OUTLET",$CA294&lt;&gt;"",DJ294&lt;&gt;""),"",IF($Z$4="",IF(AND($CV294&lt;&gt;$CW294,$CW294=CT$110),$DJ294,""),IF(AND($CV294&lt;&gt;$CW294,$CW294&lt;&gt;CN$110,$CW294&lt;&gt;CP$110,$CW294&lt;&gt;CR$110,$CW294&lt;&gt;$CV$111),$DJ294,""))),"")</f>
      </c>
      <c s="76">
        <f>IF(ISERROR(VLOOKUP(CV294,$AL$8:$AL$15,1,FALSE))=TRUE,IF(CT294&lt;&gt;"",IF(CT294&gt;0,RANK(CT294,$CT$111:$CT$300),""),""),"")</f>
      </c>
      <c s="65">
        <f t="shared" si="47"/>
      </c>
      <c s="65">
        <f t="shared" si="48"/>
      </c>
      <c s="72">
        <f>IF('[1]Leakage Tree Data'!A193&lt;&gt;"",'[1]Leakage Tree Data'!A193,"")</f>
      </c>
      <c s="72">
        <f>IF('[1]Leakage Tree Data'!B193&lt;&gt;"",'[1]Leakage Tree Data'!B193,"")</f>
      </c>
      <c s="72">
        <f>IF('[1]Leakage Tree Data'!C193&lt;&gt;"",'[1]Leakage Tree Data'!C193,"")</f>
      </c>
      <c s="72">
        <f>IF('[1]Leakage Tree Data'!D193&lt;&gt;"",'[1]Leakage Tree Data'!D193,"")</f>
      </c>
      <c s="72">
        <f>IF('[1]Leakage Tree Data'!E193&lt;&gt;"",'[1]Leakage Tree Data'!E193,"")</f>
      </c>
      <c s="72">
        <f>IF('[1]Leakage Tree Data'!F193&lt;&gt;"",'[1]Leakage Tree Data'!F193,"")</f>
      </c>
      <c s="72">
        <f>IF('[1]Leakage Tree Data'!G193&lt;&gt;"",'[1]Leakage Tree Data'!G193,"")</f>
      </c>
      <c s="72">
        <f>IF('[1]Leakage Tree Data'!H193&lt;&gt;"",'[1]Leakage Tree Data'!H193,"")</f>
      </c>
      <c s="72">
        <f>IF('[1]Leakage Tree Data'!I193&lt;&gt;"",'[1]Leakage Tree Data'!I193,"")</f>
      </c>
      <c s="72">
        <f>IF('[1]Leakage Tree Data'!J193&lt;&gt;"",'[1]Leakage Tree Data'!J193,"")</f>
      </c>
      <c s="72">
        <f>IF('[1]Leakage Tree Data'!K193&lt;&gt;"",'[1]Leakage Tree Data'!K193,"")</f>
      </c>
      <c s="72">
        <f>IF('[1]Leakage Tree Data'!L193&lt;&gt;"",'[1]Leakage Tree Data'!L193,"")</f>
      </c>
      <c s="72">
        <f>IF('[1]Leakage Tree Data'!M193&lt;&gt;"",'[1]Leakage Tree Data'!M193,"")</f>
      </c>
      <c s="72">
        <f>IF('[1]Leakage Tree Data'!N193&lt;&gt;"",'[1]Leakage Tree Data'!N193,"")</f>
      </c>
      <c s="72">
        <f>IF('[1]Leakage Tree Data'!O193&lt;&gt;"",'[1]Leakage Tree Data'!O193,"")</f>
      </c>
      <c s="72">
        <f>IF('[1]Leakage Tree Data'!P193&lt;&gt;"",'[1]Leakage Tree Data'!P193,"")</f>
      </c>
      <c s="72">
        <f>IF('[1]Leakage Tree Data'!Q193&lt;&gt;"",'[1]Leakage Tree Data'!Q193,"")</f>
      </c>
      <c s="72">
        <f>IF('[1]Leakage Tree Data'!R193&lt;&gt;"",'[1]Leakage Tree Data'!R193,"")</f>
      </c>
      <c s="72">
        <f>IF('[1]Leakage Tree Data'!S193&lt;&gt;"",'[1]Leakage Tree Data'!S193,"")</f>
      </c>
      <c s="72">
        <f>IF('[1]Leakage Tree Data'!T193&lt;&gt;"",'[1]Leakage Tree Data'!T193,"")</f>
      </c>
      <c s="72">
        <f>IF('[1]Leakage Tree Data'!U193&lt;&gt;"",'[1]Leakage Tree Data'!U193,"")</f>
      </c>
      <c s="72">
        <f>IF('[1]Leakage Tree Data'!V193&lt;&gt;"",'[1]Leakage Tree Data'!V193,"")</f>
      </c>
      <c s="72">
        <f>IF('[1]Leakage Tree Data'!W193&lt;&gt;"",'[1]Leakage Tree Data'!W193,"")</f>
      </c>
      <c s="72">
        <f>IF('[1]Leakage Tree Data'!X193&lt;&gt;"",'[1]Leakage Tree Data'!X193,"")</f>
      </c>
      <c s="72">
        <f>IF('[1]Leakage Tree Data'!Y193&lt;&gt;"",'[1]Leakage Tree Data'!Y193,"")</f>
      </c>
      <c s="72">
        <f>IF('[1]Leakage Tree Data'!Z193&lt;&gt;"",'[1]Leakage Tree Data'!Z193,"")</f>
      </c>
      <c s="72">
        <f>IF('[1]Leakage Tree Data'!AA193&lt;&gt;"",'[1]Leakage Tree Data'!AA193,"")</f>
      </c>
      <c s="72">
        <f>IF('[1]Leakage Tree Data'!AB193&lt;&gt;"",'[1]Leakage Tree Data'!AB193,"")</f>
      </c>
      <c s="72">
        <f>IF('[1]Leakage Tree Data'!AC193&lt;&gt;"",'[1]Leakage Tree Data'!AC193,"")</f>
      </c>
      <c s="72">
        <f>IF('[1]Leakage Tree Data'!AD193&lt;&gt;"",'[1]Leakage Tree Data'!AD193,"")</f>
      </c>
      <c s="72">
        <f>IF('[1]Leakage Tree Data'!AE193&lt;&gt;"",'[1]Leakage Tree Data'!AE193,"")</f>
      </c>
      <c s="73">
        <f t="shared" si="49"/>
      </c>
      <c s="73">
        <f t="shared" si="50"/>
      </c>
      <c s="73">
        <f t="shared" si="51"/>
      </c>
      <c s="73">
        <f t="shared" si="52"/>
      </c>
      <c s="74">
        <f t="shared" si="53"/>
      </c>
      <c s="74">
        <f t="shared" si="54"/>
      </c>
      <c s="69">
        <f t="shared" si="55"/>
      </c>
      <c s="69">
        <f t="shared" si="56"/>
      </c>
    </row>
    <row r="295" spans="1:140" s="92" customFormat="1" ht="15">
      <c r="A295"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295,$AL$8:$AL$15,1,FALSE))=TRUE,IF(AND(CV295=CW295,CV295&lt;&gt;"",DI$111&lt;&gt;"",DK295&lt;&gt;""),IF(CW$101="Y",DK295-IF(ISERROR(VLOOKUP(CV295,$CA$113:$DK$300,37,FALSE))=TRUE,0,IF(VLOOKUP(CV295,$CA$113:$DK$300,37,FALSE)="",0,VLOOKUP(CV295,$CA$113:$DK$300,37,FALSE))),DK295-IF(AND(CW$102="Y",CV295=$CW$111),DI$111,0)),""),"")</f>
      </c>
      <c s="76">
        <f>IF(ISERROR(VLOOKUP(CV295,$AL$8:$AL$15,1,FALSE))=TRUE,IF(CB295&lt;&gt;"",IF(CB295&gt;0,IF(Z$4&lt;&gt;"",MIN(4,RANK(CB295,$CB$111:$CB$300)),RANK(CB295,$CB$111:$CB$300)),""),""),"")</f>
      </c>
      <c s="75">
        <f>IF(ISERROR(VLOOKUP(CV295,$AL$8:$AL$15,1,FALSE))=TRUE,IF(AND(ISERROR(FIND("NeighMkt",$CX$102))=FALSE,LEFT($CW$111,10)="ALL OUTLET",$CA295&lt;&gt;"",DK295&lt;&gt;""),"",IF(AND($CV295&lt;&gt;$CW295,$CW295=CD$110),$DK295,"")),"")</f>
      </c>
      <c s="76">
        <f>IF(ISERROR(VLOOKUP(CV295,$AL$8:$AL$15,1,FALSE))=TRUE,IF(CD295&lt;&gt;"",IF(CD295&gt;0,RANK(CD295,$CD$111:$CD$300),""),""),"")</f>
      </c>
      <c s="75">
        <f>IF(ISERROR(VLOOKUP(CV295,$AL$8:$AL$15,1,FALSE))=TRUE,IF(AND(ISERROR(FIND("NeighMkt",$CX$102))=FALSE,LEFT($CW$111,10)="ALL OUTLET",$CA295&lt;&gt;"",DK295&lt;&gt;""),"",IF(AND($CV295&lt;&gt;$CW295,$CW295=CF$110),$DK295,"")),"")</f>
      </c>
      <c s="76">
        <f>IF(ISERROR(VLOOKUP(CV295,$AL$8:$AL$15,1,FALSE))=TRUE,IF(CF295&lt;&gt;"",IF(CF295&gt;0,RANK(CF295,$CF$111:$CF$300),""),""),"")</f>
      </c>
      <c s="75">
        <f>IF(ISERROR(VLOOKUP(CV295,$AL$8:$AL$15,1,FALSE))=TRUE,IF(AND(ISERROR(FIND("NeighMkt",$CX$102))=FALSE,LEFT($CW$111,10)="ALL OUTLET",$CA295&lt;&gt;"",DK295&lt;&gt;""),"",IF(AND($CV295&lt;&gt;$CW295,$CW295=CH$110),$DK295,"")),"")</f>
      </c>
      <c s="76">
        <f>IF(ISERROR(VLOOKUP(CV295,$AL$8:$AL$15,1,FALSE))=TRUE,IF(CH295&lt;&gt;"",IF(CH295&gt;0,RANK(CH295,$CH$111:$CH$300),""),""),"")</f>
      </c>
      <c s="75">
        <f>IF(ISERROR(VLOOKUP(CV295,$AL$8:$AL$15,1,FALSE))=TRUE,IF(AND(ISERROR(FIND("NeighMkt",$CX$102))=FALSE,LEFT($CW$111,10)="ALL OUTLET",$CA295&lt;&gt;"",DK295&lt;&gt;""),"",IF($Z$4="",IF(AND($CV295&lt;&gt;$CW295,$CW295=CJ$110),$DK295,""),IF(AND($CV295&lt;&gt;$CW295,$CW295&lt;&gt;CD$110,$CW295&lt;&gt;CF$110,$CW295&lt;&gt;CH$110,$CW295&lt;&gt;$CV$111),$DK295,""))),"")</f>
      </c>
      <c s="76">
        <f>IF(ISERROR(VLOOKUP(CV295,$AL$8:$AL$15,1,FALSE))=TRUE,IF(CJ295&lt;&gt;"",IF(CJ295&gt;0,RANK(CJ295,$CJ$111:$CJ$300),""),""),"")</f>
      </c>
      <c s="75">
        <f>IF(ISERROR(VLOOKUP(CV295,$AL$8:$AL$15,1,FALSE))=TRUE,IF(AND(CV295=CW295,CV295&lt;&gt;"",DJ295&lt;&gt;""),IF(AND(ISERROR(FIND("NeighMkt",$CX$102))=FALSE,LEFT($CW$111,10)="ALL OUTLET"),DJ295-IF(ISERROR(VLOOKUP(CV295,$CA$113:$DK$300,36,FALSE))=TRUE,0,IF(VLOOKUP(CV295,$CA$113:$DK$300,36,FALSE)="",0,VLOOKUP(CV295,$CA$113:$DK$300,36,FALSE))),DJ295),""),"")</f>
      </c>
      <c s="76">
        <f>IF(ISERROR(VLOOKUP(CV295,$AL$8:$AL$15,1,FALSE))=TRUE,IF(CL295&lt;&gt;"",IF(CL295&gt;0,IF($Z$4&lt;&gt;"",MIN(4,RANK(CL295,$CL$111:$CL$300)),RANK(CL295,$CL$111:$CL$300)),""),""),"")</f>
      </c>
      <c s="75">
        <f>IF(ISERROR(VLOOKUP(CV295,$AL$8:$AL$15,1,FALSE))=TRUE,IF(AND(ISERROR(FIND("NeighMkt",$CX$102))=FALSE,LEFT($CW$111,10)="ALL OUTLET",$CA295&lt;&gt;"",DJ295&lt;&gt;""),"",IF(AND($CV295&lt;&gt;$CW295,$CW295=CN$110),$DJ295,"")),"")</f>
      </c>
      <c s="76">
        <f>IF(ISERROR(VLOOKUP(CV295,$AL$8:$AL$15,1,FALSE))=TRUE,IF(CN295&lt;&gt;"",IF(CN295&gt;0,RANK(CN295,$CN$111:$CN$300),""),""),"")</f>
      </c>
      <c s="75">
        <f>IF(ISERROR(VLOOKUP(CV295,$AL$8:$AL$15,1,FALSE))=TRUE,IF(AND(ISERROR(FIND("NeighMkt",$CX$102))=FALSE,LEFT($CW$111,10)="ALL OUTLET",$CA295&lt;&gt;"",DJ295&lt;&gt;""),"",IF(AND($CV295&lt;&gt;$CW295,$CW295=CP$110),$DJ295,"")),"")</f>
      </c>
      <c s="76">
        <f>IF(ISERROR(VLOOKUP(CV295,$AL$8:$AL$15,1,FALSE))=TRUE,IF(CP295&lt;&gt;"",IF(CP295&gt;0,RANK(CP295,$CP$111:$CP$300),""),""),"")</f>
      </c>
      <c s="75">
        <f>IF(ISERROR(VLOOKUP(CV295,$AL$8:$AL$15,1,FALSE))=TRUE,IF(AND(ISERROR(FIND("NeighMkt",$CX$102))=FALSE,LEFT($CW$111,10)="ALL OUTLET",$CA295&lt;&gt;"",DJ295&lt;&gt;""),"",IF(AND($CV295&lt;&gt;$CW295,$CW295=CR$110),$DJ295,"")),"")</f>
      </c>
      <c s="76">
        <f>IF(ISERROR(VLOOKUP(CV295,$AL$8:$AL$15,1,FALSE))=TRUE,IF(CR295&lt;&gt;"",IF(CR295&gt;0,RANK(CR295,$CR$111:$CR$300),""),""),"")</f>
      </c>
      <c s="75">
        <f>IF(ISERROR(VLOOKUP(CV295,$AL$8:$AL$15,1,FALSE))=TRUE,IF(AND(ISERROR(FIND("NeighMkt",$CX$102))=FALSE,LEFT($CW$111,10)="ALL OUTLET",$CA295&lt;&gt;"",DJ295&lt;&gt;""),"",IF($Z$4="",IF(AND($CV295&lt;&gt;$CW295,$CW295=CT$110),$DJ295,""),IF(AND($CV295&lt;&gt;$CW295,$CW295&lt;&gt;CN$110,$CW295&lt;&gt;CP$110,$CW295&lt;&gt;CR$110,$CW295&lt;&gt;$CV$111),$DJ295,""))),"")</f>
      </c>
      <c s="76">
        <f>IF(ISERROR(VLOOKUP(CV295,$AL$8:$AL$15,1,FALSE))=TRUE,IF(CT295&lt;&gt;"",IF(CT295&gt;0,RANK(CT295,$CT$111:$CT$300),""),""),"")</f>
      </c>
      <c s="65">
        <f t="shared" si="47"/>
      </c>
      <c s="65">
        <f t="shared" si="48"/>
      </c>
      <c s="72">
        <f>IF('[1]Leakage Tree Data'!A194&lt;&gt;"",'[1]Leakage Tree Data'!A194,"")</f>
      </c>
      <c s="72">
        <f>IF('[1]Leakage Tree Data'!B194&lt;&gt;"",'[1]Leakage Tree Data'!B194,"")</f>
      </c>
      <c s="72">
        <f>IF('[1]Leakage Tree Data'!C194&lt;&gt;"",'[1]Leakage Tree Data'!C194,"")</f>
      </c>
      <c s="72">
        <f>IF('[1]Leakage Tree Data'!D194&lt;&gt;"",'[1]Leakage Tree Data'!D194,"")</f>
      </c>
      <c s="72">
        <f>IF('[1]Leakage Tree Data'!E194&lt;&gt;"",'[1]Leakage Tree Data'!E194,"")</f>
      </c>
      <c s="72">
        <f>IF('[1]Leakage Tree Data'!F194&lt;&gt;"",'[1]Leakage Tree Data'!F194,"")</f>
      </c>
      <c s="72">
        <f>IF('[1]Leakage Tree Data'!G194&lt;&gt;"",'[1]Leakage Tree Data'!G194,"")</f>
      </c>
      <c s="72">
        <f>IF('[1]Leakage Tree Data'!H194&lt;&gt;"",'[1]Leakage Tree Data'!H194,"")</f>
      </c>
      <c s="72">
        <f>IF('[1]Leakage Tree Data'!I194&lt;&gt;"",'[1]Leakage Tree Data'!I194,"")</f>
      </c>
      <c s="72">
        <f>IF('[1]Leakage Tree Data'!J194&lt;&gt;"",'[1]Leakage Tree Data'!J194,"")</f>
      </c>
      <c s="72">
        <f>IF('[1]Leakage Tree Data'!K194&lt;&gt;"",'[1]Leakage Tree Data'!K194,"")</f>
      </c>
      <c s="72">
        <f>IF('[1]Leakage Tree Data'!L194&lt;&gt;"",'[1]Leakage Tree Data'!L194,"")</f>
      </c>
      <c s="72">
        <f>IF('[1]Leakage Tree Data'!M194&lt;&gt;"",'[1]Leakage Tree Data'!M194,"")</f>
      </c>
      <c s="72">
        <f>IF('[1]Leakage Tree Data'!N194&lt;&gt;"",'[1]Leakage Tree Data'!N194,"")</f>
      </c>
      <c s="72">
        <f>IF('[1]Leakage Tree Data'!O194&lt;&gt;"",'[1]Leakage Tree Data'!O194,"")</f>
      </c>
      <c s="72">
        <f>IF('[1]Leakage Tree Data'!P194&lt;&gt;"",'[1]Leakage Tree Data'!P194,"")</f>
      </c>
      <c s="72">
        <f>IF('[1]Leakage Tree Data'!Q194&lt;&gt;"",'[1]Leakage Tree Data'!Q194,"")</f>
      </c>
      <c s="72">
        <f>IF('[1]Leakage Tree Data'!R194&lt;&gt;"",'[1]Leakage Tree Data'!R194,"")</f>
      </c>
      <c s="72">
        <f>IF('[1]Leakage Tree Data'!S194&lt;&gt;"",'[1]Leakage Tree Data'!S194,"")</f>
      </c>
      <c s="72">
        <f>IF('[1]Leakage Tree Data'!T194&lt;&gt;"",'[1]Leakage Tree Data'!T194,"")</f>
      </c>
      <c s="72">
        <f>IF('[1]Leakage Tree Data'!U194&lt;&gt;"",'[1]Leakage Tree Data'!U194,"")</f>
      </c>
      <c s="72">
        <f>IF('[1]Leakage Tree Data'!V194&lt;&gt;"",'[1]Leakage Tree Data'!V194,"")</f>
      </c>
      <c s="72">
        <f>IF('[1]Leakage Tree Data'!W194&lt;&gt;"",'[1]Leakage Tree Data'!W194,"")</f>
      </c>
      <c s="72">
        <f>IF('[1]Leakage Tree Data'!X194&lt;&gt;"",'[1]Leakage Tree Data'!X194,"")</f>
      </c>
      <c s="72">
        <f>IF('[1]Leakage Tree Data'!Y194&lt;&gt;"",'[1]Leakage Tree Data'!Y194,"")</f>
      </c>
      <c s="72">
        <f>IF('[1]Leakage Tree Data'!Z194&lt;&gt;"",'[1]Leakage Tree Data'!Z194,"")</f>
      </c>
      <c s="72">
        <f>IF('[1]Leakage Tree Data'!AA194&lt;&gt;"",'[1]Leakage Tree Data'!AA194,"")</f>
      </c>
      <c s="72">
        <f>IF('[1]Leakage Tree Data'!AB194&lt;&gt;"",'[1]Leakage Tree Data'!AB194,"")</f>
      </c>
      <c s="72">
        <f>IF('[1]Leakage Tree Data'!AC194&lt;&gt;"",'[1]Leakage Tree Data'!AC194,"")</f>
      </c>
      <c s="72">
        <f>IF('[1]Leakage Tree Data'!AD194&lt;&gt;"",'[1]Leakage Tree Data'!AD194,"")</f>
      </c>
      <c s="72">
        <f>IF('[1]Leakage Tree Data'!AE194&lt;&gt;"",'[1]Leakage Tree Data'!AE194,"")</f>
      </c>
      <c s="73">
        <f t="shared" si="49"/>
      </c>
      <c s="73">
        <f t="shared" si="50"/>
      </c>
      <c s="73">
        <f t="shared" si="51"/>
      </c>
      <c s="73">
        <f t="shared" si="52"/>
      </c>
      <c s="74">
        <f t="shared" si="53"/>
      </c>
      <c s="74">
        <f t="shared" si="54"/>
      </c>
      <c s="69">
        <f t="shared" si="55"/>
      </c>
      <c s="69">
        <f t="shared" si="56"/>
      </c>
    </row>
    <row r="296" spans="1:140" s="92" customFormat="1" ht="15">
      <c r="A296"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296,$AL$8:$AL$15,1,FALSE))=TRUE,IF(AND(CV296=CW296,CV296&lt;&gt;"",DI$111&lt;&gt;"",DK296&lt;&gt;""),IF(CW$101="Y",DK296-IF(ISERROR(VLOOKUP(CV296,$CA$113:$DK$300,37,FALSE))=TRUE,0,IF(VLOOKUP(CV296,$CA$113:$DK$300,37,FALSE)="",0,VLOOKUP(CV296,$CA$113:$DK$300,37,FALSE))),DK296-IF(AND(CW$102="Y",CV296=$CW$111),DI$111,0)),""),"")</f>
      </c>
      <c s="76">
        <f>IF(ISERROR(VLOOKUP(CV296,$AL$8:$AL$15,1,FALSE))=TRUE,IF(CB296&lt;&gt;"",IF(CB296&gt;0,IF(Z$4&lt;&gt;"",MIN(4,RANK(CB296,$CB$111:$CB$300)),RANK(CB296,$CB$111:$CB$300)),""),""),"")</f>
      </c>
      <c s="75">
        <f>IF(ISERROR(VLOOKUP(CV296,$AL$8:$AL$15,1,FALSE))=TRUE,IF(AND(ISERROR(FIND("NeighMkt",$CX$102))=FALSE,LEFT($CW$111,10)="ALL OUTLET",$CA296&lt;&gt;"",DK296&lt;&gt;""),"",IF(AND($CV296&lt;&gt;$CW296,$CW296=CD$110),$DK296,"")),"")</f>
      </c>
      <c s="76">
        <f>IF(ISERROR(VLOOKUP(CV296,$AL$8:$AL$15,1,FALSE))=TRUE,IF(CD296&lt;&gt;"",IF(CD296&gt;0,RANK(CD296,$CD$111:$CD$300),""),""),"")</f>
      </c>
      <c s="75">
        <f>IF(ISERROR(VLOOKUP(CV296,$AL$8:$AL$15,1,FALSE))=TRUE,IF(AND(ISERROR(FIND("NeighMkt",$CX$102))=FALSE,LEFT($CW$111,10)="ALL OUTLET",$CA296&lt;&gt;"",DK296&lt;&gt;""),"",IF(AND($CV296&lt;&gt;$CW296,$CW296=CF$110),$DK296,"")),"")</f>
      </c>
      <c s="76">
        <f>IF(ISERROR(VLOOKUP(CV296,$AL$8:$AL$15,1,FALSE))=TRUE,IF(CF296&lt;&gt;"",IF(CF296&gt;0,RANK(CF296,$CF$111:$CF$300),""),""),"")</f>
      </c>
      <c s="75">
        <f>IF(ISERROR(VLOOKUP(CV296,$AL$8:$AL$15,1,FALSE))=TRUE,IF(AND(ISERROR(FIND("NeighMkt",$CX$102))=FALSE,LEFT($CW$111,10)="ALL OUTLET",$CA296&lt;&gt;"",DK296&lt;&gt;""),"",IF(AND($CV296&lt;&gt;$CW296,$CW296=CH$110),$DK296,"")),"")</f>
      </c>
      <c s="76">
        <f>IF(ISERROR(VLOOKUP(CV296,$AL$8:$AL$15,1,FALSE))=TRUE,IF(CH296&lt;&gt;"",IF(CH296&gt;0,RANK(CH296,$CH$111:$CH$300),""),""),"")</f>
      </c>
      <c s="75">
        <f>IF(ISERROR(VLOOKUP(CV296,$AL$8:$AL$15,1,FALSE))=TRUE,IF(AND(ISERROR(FIND("NeighMkt",$CX$102))=FALSE,LEFT($CW$111,10)="ALL OUTLET",$CA296&lt;&gt;"",DK296&lt;&gt;""),"",IF($Z$4="",IF(AND($CV296&lt;&gt;$CW296,$CW296=CJ$110),$DK296,""),IF(AND($CV296&lt;&gt;$CW296,$CW296&lt;&gt;CD$110,$CW296&lt;&gt;CF$110,$CW296&lt;&gt;CH$110,$CW296&lt;&gt;$CV$111),$DK296,""))),"")</f>
      </c>
      <c s="76">
        <f>IF(ISERROR(VLOOKUP(CV296,$AL$8:$AL$15,1,FALSE))=TRUE,IF(CJ296&lt;&gt;"",IF(CJ296&gt;0,RANK(CJ296,$CJ$111:$CJ$300),""),""),"")</f>
      </c>
      <c s="75">
        <f>IF(ISERROR(VLOOKUP(CV296,$AL$8:$AL$15,1,FALSE))=TRUE,IF(AND(CV296=CW296,CV296&lt;&gt;"",DJ296&lt;&gt;""),IF(AND(ISERROR(FIND("NeighMkt",$CX$102))=FALSE,LEFT($CW$111,10)="ALL OUTLET"),DJ296-IF(ISERROR(VLOOKUP(CV296,$CA$113:$DK$300,36,FALSE))=TRUE,0,IF(VLOOKUP(CV296,$CA$113:$DK$300,36,FALSE)="",0,VLOOKUP(CV296,$CA$113:$DK$300,36,FALSE))),DJ296),""),"")</f>
      </c>
      <c s="76">
        <f>IF(ISERROR(VLOOKUP(CV296,$AL$8:$AL$15,1,FALSE))=TRUE,IF(CL296&lt;&gt;"",IF(CL296&gt;0,IF($Z$4&lt;&gt;"",MIN(4,RANK(CL296,$CL$111:$CL$300)),RANK(CL296,$CL$111:$CL$300)),""),""),"")</f>
      </c>
      <c s="75">
        <f>IF(ISERROR(VLOOKUP(CV296,$AL$8:$AL$15,1,FALSE))=TRUE,IF(AND(ISERROR(FIND("NeighMkt",$CX$102))=FALSE,LEFT($CW$111,10)="ALL OUTLET",$CA296&lt;&gt;"",DJ296&lt;&gt;""),"",IF(AND($CV296&lt;&gt;$CW296,$CW296=CN$110),$DJ296,"")),"")</f>
      </c>
      <c s="76">
        <f>IF(ISERROR(VLOOKUP(CV296,$AL$8:$AL$15,1,FALSE))=TRUE,IF(CN296&lt;&gt;"",IF(CN296&gt;0,RANK(CN296,$CN$111:$CN$300),""),""),"")</f>
      </c>
      <c s="75">
        <f>IF(ISERROR(VLOOKUP(CV296,$AL$8:$AL$15,1,FALSE))=TRUE,IF(AND(ISERROR(FIND("NeighMkt",$CX$102))=FALSE,LEFT($CW$111,10)="ALL OUTLET",$CA296&lt;&gt;"",DJ296&lt;&gt;""),"",IF(AND($CV296&lt;&gt;$CW296,$CW296=CP$110),$DJ296,"")),"")</f>
      </c>
      <c s="76">
        <f>IF(ISERROR(VLOOKUP(CV296,$AL$8:$AL$15,1,FALSE))=TRUE,IF(CP296&lt;&gt;"",IF(CP296&gt;0,RANK(CP296,$CP$111:$CP$300),""),""),"")</f>
      </c>
      <c s="75">
        <f>IF(ISERROR(VLOOKUP(CV296,$AL$8:$AL$15,1,FALSE))=TRUE,IF(AND(ISERROR(FIND("NeighMkt",$CX$102))=FALSE,LEFT($CW$111,10)="ALL OUTLET",$CA296&lt;&gt;"",DJ296&lt;&gt;""),"",IF(AND($CV296&lt;&gt;$CW296,$CW296=CR$110),$DJ296,"")),"")</f>
      </c>
      <c s="76">
        <f>IF(ISERROR(VLOOKUP(CV296,$AL$8:$AL$15,1,FALSE))=TRUE,IF(CR296&lt;&gt;"",IF(CR296&gt;0,RANK(CR296,$CR$111:$CR$300),""),""),"")</f>
      </c>
      <c s="75">
        <f>IF(ISERROR(VLOOKUP(CV296,$AL$8:$AL$15,1,FALSE))=TRUE,IF(AND(ISERROR(FIND("NeighMkt",$CX$102))=FALSE,LEFT($CW$111,10)="ALL OUTLET",$CA296&lt;&gt;"",DJ296&lt;&gt;""),"",IF($Z$4="",IF(AND($CV296&lt;&gt;$CW296,$CW296=CT$110),$DJ296,""),IF(AND($CV296&lt;&gt;$CW296,$CW296&lt;&gt;CN$110,$CW296&lt;&gt;CP$110,$CW296&lt;&gt;CR$110,$CW296&lt;&gt;$CV$111),$DJ296,""))),"")</f>
      </c>
      <c s="76">
        <f>IF(ISERROR(VLOOKUP(CV296,$AL$8:$AL$15,1,FALSE))=TRUE,IF(CT296&lt;&gt;"",IF(CT296&gt;0,RANK(CT296,$CT$111:$CT$300),""),""),"")</f>
      </c>
      <c s="65">
        <f t="shared" si="47"/>
      </c>
      <c s="65">
        <f t="shared" si="48"/>
      </c>
      <c s="72">
        <f>IF('[1]Leakage Tree Data'!A195&lt;&gt;"",'[1]Leakage Tree Data'!A195,"")</f>
      </c>
      <c s="72">
        <f>IF('[1]Leakage Tree Data'!B195&lt;&gt;"",'[1]Leakage Tree Data'!B195,"")</f>
      </c>
      <c s="72">
        <f>IF('[1]Leakage Tree Data'!C195&lt;&gt;"",'[1]Leakage Tree Data'!C195,"")</f>
      </c>
      <c s="72">
        <f>IF('[1]Leakage Tree Data'!D195&lt;&gt;"",'[1]Leakage Tree Data'!D195,"")</f>
      </c>
      <c s="72">
        <f>IF('[1]Leakage Tree Data'!E195&lt;&gt;"",'[1]Leakage Tree Data'!E195,"")</f>
      </c>
      <c s="72">
        <f>IF('[1]Leakage Tree Data'!F195&lt;&gt;"",'[1]Leakage Tree Data'!F195,"")</f>
      </c>
      <c s="72">
        <f>IF('[1]Leakage Tree Data'!G195&lt;&gt;"",'[1]Leakage Tree Data'!G195,"")</f>
      </c>
      <c s="72">
        <f>IF('[1]Leakage Tree Data'!H195&lt;&gt;"",'[1]Leakage Tree Data'!H195,"")</f>
      </c>
      <c s="72">
        <f>IF('[1]Leakage Tree Data'!I195&lt;&gt;"",'[1]Leakage Tree Data'!I195,"")</f>
      </c>
      <c s="72">
        <f>IF('[1]Leakage Tree Data'!J195&lt;&gt;"",'[1]Leakage Tree Data'!J195,"")</f>
      </c>
      <c s="72">
        <f>IF('[1]Leakage Tree Data'!K195&lt;&gt;"",'[1]Leakage Tree Data'!K195,"")</f>
      </c>
      <c s="72">
        <f>IF('[1]Leakage Tree Data'!L195&lt;&gt;"",'[1]Leakage Tree Data'!L195,"")</f>
      </c>
      <c s="72">
        <f>IF('[1]Leakage Tree Data'!M195&lt;&gt;"",'[1]Leakage Tree Data'!M195,"")</f>
      </c>
      <c s="72">
        <f>IF('[1]Leakage Tree Data'!N195&lt;&gt;"",'[1]Leakage Tree Data'!N195,"")</f>
      </c>
      <c s="72">
        <f>IF('[1]Leakage Tree Data'!O195&lt;&gt;"",'[1]Leakage Tree Data'!O195,"")</f>
      </c>
      <c s="72">
        <f>IF('[1]Leakage Tree Data'!P195&lt;&gt;"",'[1]Leakage Tree Data'!P195,"")</f>
      </c>
      <c s="72">
        <f>IF('[1]Leakage Tree Data'!Q195&lt;&gt;"",'[1]Leakage Tree Data'!Q195,"")</f>
      </c>
      <c s="72">
        <f>IF('[1]Leakage Tree Data'!R195&lt;&gt;"",'[1]Leakage Tree Data'!R195,"")</f>
      </c>
      <c s="72">
        <f>IF('[1]Leakage Tree Data'!S195&lt;&gt;"",'[1]Leakage Tree Data'!S195,"")</f>
      </c>
      <c s="72">
        <f>IF('[1]Leakage Tree Data'!T195&lt;&gt;"",'[1]Leakage Tree Data'!T195,"")</f>
      </c>
      <c s="72">
        <f>IF('[1]Leakage Tree Data'!U195&lt;&gt;"",'[1]Leakage Tree Data'!U195,"")</f>
      </c>
      <c s="72">
        <f>IF('[1]Leakage Tree Data'!V195&lt;&gt;"",'[1]Leakage Tree Data'!V195,"")</f>
      </c>
      <c s="72">
        <f>IF('[1]Leakage Tree Data'!W195&lt;&gt;"",'[1]Leakage Tree Data'!W195,"")</f>
      </c>
      <c s="72">
        <f>IF('[1]Leakage Tree Data'!X195&lt;&gt;"",'[1]Leakage Tree Data'!X195,"")</f>
      </c>
      <c s="72">
        <f>IF('[1]Leakage Tree Data'!Y195&lt;&gt;"",'[1]Leakage Tree Data'!Y195,"")</f>
      </c>
      <c s="72">
        <f>IF('[1]Leakage Tree Data'!Z195&lt;&gt;"",'[1]Leakage Tree Data'!Z195,"")</f>
      </c>
      <c s="72">
        <f>IF('[1]Leakage Tree Data'!AA195&lt;&gt;"",'[1]Leakage Tree Data'!AA195,"")</f>
      </c>
      <c s="72">
        <f>IF('[1]Leakage Tree Data'!AB195&lt;&gt;"",'[1]Leakage Tree Data'!AB195,"")</f>
      </c>
      <c s="72">
        <f>IF('[1]Leakage Tree Data'!AC195&lt;&gt;"",'[1]Leakage Tree Data'!AC195,"")</f>
      </c>
      <c s="72">
        <f>IF('[1]Leakage Tree Data'!AD195&lt;&gt;"",'[1]Leakage Tree Data'!AD195,"")</f>
      </c>
      <c s="72">
        <f>IF('[1]Leakage Tree Data'!AE195&lt;&gt;"",'[1]Leakage Tree Data'!AE195,"")</f>
      </c>
      <c s="73">
        <f t="shared" si="49"/>
      </c>
      <c s="73">
        <f t="shared" si="50"/>
      </c>
      <c s="73">
        <f t="shared" si="51"/>
      </c>
      <c s="73">
        <f t="shared" si="52"/>
      </c>
      <c s="74">
        <f t="shared" si="53"/>
      </c>
      <c s="74">
        <f t="shared" si="54"/>
      </c>
      <c s="69">
        <f t="shared" si="55"/>
      </c>
      <c s="69">
        <f t="shared" si="56"/>
      </c>
    </row>
    <row r="297" spans="1:140" s="92" customFormat="1" ht="15">
      <c r="A297"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297,$AL$8:$AL$15,1,FALSE))=TRUE,IF(AND(CV297=CW297,CV297&lt;&gt;"",DI$111&lt;&gt;"",DK297&lt;&gt;""),IF(CW$101="Y",DK297-IF(ISERROR(VLOOKUP(CV297,$CA$113:$DK$300,37,FALSE))=TRUE,0,IF(VLOOKUP(CV297,$CA$113:$DK$300,37,FALSE)="",0,VLOOKUP(CV297,$CA$113:$DK$300,37,FALSE))),DK297-IF(AND(CW$102="Y",CV297=$CW$111),DI$111,0)),""),"")</f>
      </c>
      <c s="76">
        <f>IF(ISERROR(VLOOKUP(CV297,$AL$8:$AL$15,1,FALSE))=TRUE,IF(CB297&lt;&gt;"",IF(CB297&gt;0,IF(Z$4&lt;&gt;"",MIN(4,RANK(CB297,$CB$111:$CB$300)),RANK(CB297,$CB$111:$CB$300)),""),""),"")</f>
      </c>
      <c s="75">
        <f>IF(ISERROR(VLOOKUP(CV297,$AL$8:$AL$15,1,FALSE))=TRUE,IF(AND(ISERROR(FIND("NeighMkt",$CX$102))=FALSE,LEFT($CW$111,10)="ALL OUTLET",$CA297&lt;&gt;"",DK297&lt;&gt;""),"",IF(AND($CV297&lt;&gt;$CW297,$CW297=CD$110),$DK297,"")),"")</f>
      </c>
      <c s="76">
        <f>IF(ISERROR(VLOOKUP(CV297,$AL$8:$AL$15,1,FALSE))=TRUE,IF(CD297&lt;&gt;"",IF(CD297&gt;0,RANK(CD297,$CD$111:$CD$300),""),""),"")</f>
      </c>
      <c s="75">
        <f>IF(ISERROR(VLOOKUP(CV297,$AL$8:$AL$15,1,FALSE))=TRUE,IF(AND(ISERROR(FIND("NeighMkt",$CX$102))=FALSE,LEFT($CW$111,10)="ALL OUTLET",$CA297&lt;&gt;"",DK297&lt;&gt;""),"",IF(AND($CV297&lt;&gt;$CW297,$CW297=CF$110),$DK297,"")),"")</f>
      </c>
      <c s="76">
        <f>IF(ISERROR(VLOOKUP(CV297,$AL$8:$AL$15,1,FALSE))=TRUE,IF(CF297&lt;&gt;"",IF(CF297&gt;0,RANK(CF297,$CF$111:$CF$300),""),""),"")</f>
      </c>
      <c s="75">
        <f>IF(ISERROR(VLOOKUP(CV297,$AL$8:$AL$15,1,FALSE))=TRUE,IF(AND(ISERROR(FIND("NeighMkt",$CX$102))=FALSE,LEFT($CW$111,10)="ALL OUTLET",$CA297&lt;&gt;"",DK297&lt;&gt;""),"",IF(AND($CV297&lt;&gt;$CW297,$CW297=CH$110),$DK297,"")),"")</f>
      </c>
      <c s="76">
        <f>IF(ISERROR(VLOOKUP(CV297,$AL$8:$AL$15,1,FALSE))=TRUE,IF(CH297&lt;&gt;"",IF(CH297&gt;0,RANK(CH297,$CH$111:$CH$300),""),""),"")</f>
      </c>
      <c s="75">
        <f>IF(ISERROR(VLOOKUP(CV297,$AL$8:$AL$15,1,FALSE))=TRUE,IF(AND(ISERROR(FIND("NeighMkt",$CX$102))=FALSE,LEFT($CW$111,10)="ALL OUTLET",$CA297&lt;&gt;"",DK297&lt;&gt;""),"",IF($Z$4="",IF(AND($CV297&lt;&gt;$CW297,$CW297=CJ$110),$DK297,""),IF(AND($CV297&lt;&gt;$CW297,$CW297&lt;&gt;CD$110,$CW297&lt;&gt;CF$110,$CW297&lt;&gt;CH$110,$CW297&lt;&gt;$CV$111),$DK297,""))),"")</f>
      </c>
      <c s="76">
        <f>IF(ISERROR(VLOOKUP(CV297,$AL$8:$AL$15,1,FALSE))=TRUE,IF(CJ297&lt;&gt;"",IF(CJ297&gt;0,RANK(CJ297,$CJ$111:$CJ$300),""),""),"")</f>
      </c>
      <c s="75">
        <f>IF(ISERROR(VLOOKUP(CV297,$AL$8:$AL$15,1,FALSE))=TRUE,IF(AND(CV297=CW297,CV297&lt;&gt;"",DJ297&lt;&gt;""),IF(AND(ISERROR(FIND("NeighMkt",$CX$102))=FALSE,LEFT($CW$111,10)="ALL OUTLET"),DJ297-IF(ISERROR(VLOOKUP(CV297,$CA$113:$DK$300,36,FALSE))=TRUE,0,IF(VLOOKUP(CV297,$CA$113:$DK$300,36,FALSE)="",0,VLOOKUP(CV297,$CA$113:$DK$300,36,FALSE))),DJ297),""),"")</f>
      </c>
      <c s="76">
        <f>IF(ISERROR(VLOOKUP(CV297,$AL$8:$AL$15,1,FALSE))=TRUE,IF(CL297&lt;&gt;"",IF(CL297&gt;0,IF($Z$4&lt;&gt;"",MIN(4,RANK(CL297,$CL$111:$CL$300)),RANK(CL297,$CL$111:$CL$300)),""),""),"")</f>
      </c>
      <c s="75">
        <f>IF(ISERROR(VLOOKUP(CV297,$AL$8:$AL$15,1,FALSE))=TRUE,IF(AND(ISERROR(FIND("NeighMkt",$CX$102))=FALSE,LEFT($CW$111,10)="ALL OUTLET",$CA297&lt;&gt;"",DJ297&lt;&gt;""),"",IF(AND($CV297&lt;&gt;$CW297,$CW297=CN$110),$DJ297,"")),"")</f>
      </c>
      <c s="76">
        <f>IF(ISERROR(VLOOKUP(CV297,$AL$8:$AL$15,1,FALSE))=TRUE,IF(CN297&lt;&gt;"",IF(CN297&gt;0,RANK(CN297,$CN$111:$CN$300),""),""),"")</f>
      </c>
      <c s="75">
        <f>IF(ISERROR(VLOOKUP(CV297,$AL$8:$AL$15,1,FALSE))=TRUE,IF(AND(ISERROR(FIND("NeighMkt",$CX$102))=FALSE,LEFT($CW$111,10)="ALL OUTLET",$CA297&lt;&gt;"",DJ297&lt;&gt;""),"",IF(AND($CV297&lt;&gt;$CW297,$CW297=CP$110),$DJ297,"")),"")</f>
      </c>
      <c s="76">
        <f>IF(ISERROR(VLOOKUP(CV297,$AL$8:$AL$15,1,FALSE))=TRUE,IF(CP297&lt;&gt;"",IF(CP297&gt;0,RANK(CP297,$CP$111:$CP$300),""),""),"")</f>
      </c>
      <c s="75">
        <f>IF(ISERROR(VLOOKUP(CV297,$AL$8:$AL$15,1,FALSE))=TRUE,IF(AND(ISERROR(FIND("NeighMkt",$CX$102))=FALSE,LEFT($CW$111,10)="ALL OUTLET",$CA297&lt;&gt;"",DJ297&lt;&gt;""),"",IF(AND($CV297&lt;&gt;$CW297,$CW297=CR$110),$DJ297,"")),"")</f>
      </c>
      <c s="76">
        <f>IF(ISERROR(VLOOKUP(CV297,$AL$8:$AL$15,1,FALSE))=TRUE,IF(CR297&lt;&gt;"",IF(CR297&gt;0,RANK(CR297,$CR$111:$CR$300),""),""),"")</f>
      </c>
      <c s="75">
        <f>IF(ISERROR(VLOOKUP(CV297,$AL$8:$AL$15,1,FALSE))=TRUE,IF(AND(ISERROR(FIND("NeighMkt",$CX$102))=FALSE,LEFT($CW$111,10)="ALL OUTLET",$CA297&lt;&gt;"",DJ297&lt;&gt;""),"",IF($Z$4="",IF(AND($CV297&lt;&gt;$CW297,$CW297=CT$110),$DJ297,""),IF(AND($CV297&lt;&gt;$CW297,$CW297&lt;&gt;CN$110,$CW297&lt;&gt;CP$110,$CW297&lt;&gt;CR$110,$CW297&lt;&gt;$CV$111),$DJ297,""))),"")</f>
      </c>
      <c s="76">
        <f>IF(ISERROR(VLOOKUP(CV297,$AL$8:$AL$15,1,FALSE))=TRUE,IF(CT297&lt;&gt;"",IF(CT297&gt;0,RANK(CT297,$CT$111:$CT$300),""),""),"")</f>
      </c>
      <c s="65">
        <f t="shared" si="47"/>
      </c>
      <c s="65">
        <f t="shared" si="48"/>
      </c>
      <c s="72">
        <f>IF('[1]Leakage Tree Data'!A196&lt;&gt;"",'[1]Leakage Tree Data'!A196,"")</f>
      </c>
      <c s="72">
        <f>IF('[1]Leakage Tree Data'!B196&lt;&gt;"",'[1]Leakage Tree Data'!B196,"")</f>
      </c>
      <c s="72">
        <f>IF('[1]Leakage Tree Data'!C196&lt;&gt;"",'[1]Leakage Tree Data'!C196,"")</f>
      </c>
      <c s="72">
        <f>IF('[1]Leakage Tree Data'!D196&lt;&gt;"",'[1]Leakage Tree Data'!D196,"")</f>
      </c>
      <c s="72">
        <f>IF('[1]Leakage Tree Data'!E196&lt;&gt;"",'[1]Leakage Tree Data'!E196,"")</f>
      </c>
      <c s="72">
        <f>IF('[1]Leakage Tree Data'!F196&lt;&gt;"",'[1]Leakage Tree Data'!F196,"")</f>
      </c>
      <c s="72">
        <f>IF('[1]Leakage Tree Data'!G196&lt;&gt;"",'[1]Leakage Tree Data'!G196,"")</f>
      </c>
      <c s="72">
        <f>IF('[1]Leakage Tree Data'!H196&lt;&gt;"",'[1]Leakage Tree Data'!H196,"")</f>
      </c>
      <c s="72">
        <f>IF('[1]Leakage Tree Data'!I196&lt;&gt;"",'[1]Leakage Tree Data'!I196,"")</f>
      </c>
      <c s="72">
        <f>IF('[1]Leakage Tree Data'!J196&lt;&gt;"",'[1]Leakage Tree Data'!J196,"")</f>
      </c>
      <c s="72">
        <f>IF('[1]Leakage Tree Data'!K196&lt;&gt;"",'[1]Leakage Tree Data'!K196,"")</f>
      </c>
      <c s="72">
        <f>IF('[1]Leakage Tree Data'!L196&lt;&gt;"",'[1]Leakage Tree Data'!L196,"")</f>
      </c>
      <c s="72">
        <f>IF('[1]Leakage Tree Data'!M196&lt;&gt;"",'[1]Leakage Tree Data'!M196,"")</f>
      </c>
      <c s="72">
        <f>IF('[1]Leakage Tree Data'!N196&lt;&gt;"",'[1]Leakage Tree Data'!N196,"")</f>
      </c>
      <c s="72">
        <f>IF('[1]Leakage Tree Data'!O196&lt;&gt;"",'[1]Leakage Tree Data'!O196,"")</f>
      </c>
      <c s="72">
        <f>IF('[1]Leakage Tree Data'!P196&lt;&gt;"",'[1]Leakage Tree Data'!P196,"")</f>
      </c>
      <c s="72">
        <f>IF('[1]Leakage Tree Data'!Q196&lt;&gt;"",'[1]Leakage Tree Data'!Q196,"")</f>
      </c>
      <c s="72">
        <f>IF('[1]Leakage Tree Data'!R196&lt;&gt;"",'[1]Leakage Tree Data'!R196,"")</f>
      </c>
      <c s="72">
        <f>IF('[1]Leakage Tree Data'!S196&lt;&gt;"",'[1]Leakage Tree Data'!S196,"")</f>
      </c>
      <c s="72">
        <f>IF('[1]Leakage Tree Data'!T196&lt;&gt;"",'[1]Leakage Tree Data'!T196,"")</f>
      </c>
      <c s="72">
        <f>IF('[1]Leakage Tree Data'!U196&lt;&gt;"",'[1]Leakage Tree Data'!U196,"")</f>
      </c>
      <c s="72">
        <f>IF('[1]Leakage Tree Data'!V196&lt;&gt;"",'[1]Leakage Tree Data'!V196,"")</f>
      </c>
      <c s="72">
        <f>IF('[1]Leakage Tree Data'!W196&lt;&gt;"",'[1]Leakage Tree Data'!W196,"")</f>
      </c>
      <c s="72">
        <f>IF('[1]Leakage Tree Data'!X196&lt;&gt;"",'[1]Leakage Tree Data'!X196,"")</f>
      </c>
      <c s="72">
        <f>IF('[1]Leakage Tree Data'!Y196&lt;&gt;"",'[1]Leakage Tree Data'!Y196,"")</f>
      </c>
      <c s="72">
        <f>IF('[1]Leakage Tree Data'!Z196&lt;&gt;"",'[1]Leakage Tree Data'!Z196,"")</f>
      </c>
      <c s="72">
        <f>IF('[1]Leakage Tree Data'!AA196&lt;&gt;"",'[1]Leakage Tree Data'!AA196,"")</f>
      </c>
      <c s="72">
        <f>IF('[1]Leakage Tree Data'!AB196&lt;&gt;"",'[1]Leakage Tree Data'!AB196,"")</f>
      </c>
      <c s="72">
        <f>IF('[1]Leakage Tree Data'!AC196&lt;&gt;"",'[1]Leakage Tree Data'!AC196,"")</f>
      </c>
      <c s="72">
        <f>IF('[1]Leakage Tree Data'!AD196&lt;&gt;"",'[1]Leakage Tree Data'!AD196,"")</f>
      </c>
      <c s="72">
        <f>IF('[1]Leakage Tree Data'!AE196&lt;&gt;"",'[1]Leakage Tree Data'!AE196,"")</f>
      </c>
      <c s="73">
        <f t="shared" si="49"/>
      </c>
      <c s="73">
        <f t="shared" si="50"/>
      </c>
      <c s="73">
        <f t="shared" si="51"/>
      </c>
      <c s="73">
        <f t="shared" si="52"/>
      </c>
      <c s="74">
        <f t="shared" si="53"/>
      </c>
      <c s="74">
        <f t="shared" si="54"/>
      </c>
      <c s="69">
        <f t="shared" si="55"/>
      </c>
      <c s="69">
        <f t="shared" si="56"/>
      </c>
    </row>
    <row r="298" spans="1:140" s="92" customFormat="1" ht="15">
      <c r="A298"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298,$AL$8:$AL$15,1,FALSE))=TRUE,IF(AND(CV298=CW298,CV298&lt;&gt;"",DI$111&lt;&gt;"",DK298&lt;&gt;""),IF(CW$101="Y",DK298-IF(ISERROR(VLOOKUP(CV298,$CA$113:$DK$300,37,FALSE))=TRUE,0,IF(VLOOKUP(CV298,$CA$113:$DK$300,37,FALSE)="",0,VLOOKUP(CV298,$CA$113:$DK$300,37,FALSE))),DK298-IF(AND(CW$102="Y",CV298=$CW$111),DI$111,0)),""),"")</f>
      </c>
      <c s="76">
        <f>IF(ISERROR(VLOOKUP(CV298,$AL$8:$AL$15,1,FALSE))=TRUE,IF(CB298&lt;&gt;"",IF(CB298&gt;0,IF(Z$4&lt;&gt;"",MIN(4,RANK(CB298,$CB$111:$CB$300)),RANK(CB298,$CB$111:$CB$300)),""),""),"")</f>
      </c>
      <c s="75">
        <f>IF(ISERROR(VLOOKUP(CV298,$AL$8:$AL$15,1,FALSE))=TRUE,IF(AND(ISERROR(FIND("NeighMkt",$CX$102))=FALSE,LEFT($CW$111,10)="ALL OUTLET",$CA298&lt;&gt;"",DK298&lt;&gt;""),"",IF(AND($CV298&lt;&gt;$CW298,$CW298=CD$110),$DK298,"")),"")</f>
      </c>
      <c s="76">
        <f>IF(ISERROR(VLOOKUP(CV298,$AL$8:$AL$15,1,FALSE))=TRUE,IF(CD298&lt;&gt;"",IF(CD298&gt;0,RANK(CD298,$CD$111:$CD$300),""),""),"")</f>
      </c>
      <c s="75">
        <f>IF(ISERROR(VLOOKUP(CV298,$AL$8:$AL$15,1,FALSE))=TRUE,IF(AND(ISERROR(FIND("NeighMkt",$CX$102))=FALSE,LEFT($CW$111,10)="ALL OUTLET",$CA298&lt;&gt;"",DK298&lt;&gt;""),"",IF(AND($CV298&lt;&gt;$CW298,$CW298=CF$110),$DK298,"")),"")</f>
      </c>
      <c s="76">
        <f>IF(ISERROR(VLOOKUP(CV298,$AL$8:$AL$15,1,FALSE))=TRUE,IF(CF298&lt;&gt;"",IF(CF298&gt;0,RANK(CF298,$CF$111:$CF$300),""),""),"")</f>
      </c>
      <c s="75">
        <f>IF(ISERROR(VLOOKUP(CV298,$AL$8:$AL$15,1,FALSE))=TRUE,IF(AND(ISERROR(FIND("NeighMkt",$CX$102))=FALSE,LEFT($CW$111,10)="ALL OUTLET",$CA298&lt;&gt;"",DK298&lt;&gt;""),"",IF(AND($CV298&lt;&gt;$CW298,$CW298=CH$110),$DK298,"")),"")</f>
      </c>
      <c s="76">
        <f>IF(ISERROR(VLOOKUP(CV298,$AL$8:$AL$15,1,FALSE))=TRUE,IF(CH298&lt;&gt;"",IF(CH298&gt;0,RANK(CH298,$CH$111:$CH$300),""),""),"")</f>
      </c>
      <c s="75">
        <f>IF(ISERROR(VLOOKUP(CV298,$AL$8:$AL$15,1,FALSE))=TRUE,IF(AND(ISERROR(FIND("NeighMkt",$CX$102))=FALSE,LEFT($CW$111,10)="ALL OUTLET",$CA298&lt;&gt;"",DK298&lt;&gt;""),"",IF($Z$4="",IF(AND($CV298&lt;&gt;$CW298,$CW298=CJ$110),$DK298,""),IF(AND($CV298&lt;&gt;$CW298,$CW298&lt;&gt;CD$110,$CW298&lt;&gt;CF$110,$CW298&lt;&gt;CH$110,$CW298&lt;&gt;$CV$111),$DK298,""))),"")</f>
      </c>
      <c s="76">
        <f>IF(ISERROR(VLOOKUP(CV298,$AL$8:$AL$15,1,FALSE))=TRUE,IF(CJ298&lt;&gt;"",IF(CJ298&gt;0,RANK(CJ298,$CJ$111:$CJ$300),""),""),"")</f>
      </c>
      <c s="75">
        <f>IF(ISERROR(VLOOKUP(CV298,$AL$8:$AL$15,1,FALSE))=TRUE,IF(AND(CV298=CW298,CV298&lt;&gt;"",DJ298&lt;&gt;""),IF(AND(ISERROR(FIND("NeighMkt",$CX$102))=FALSE,LEFT($CW$111,10)="ALL OUTLET"),DJ298-IF(ISERROR(VLOOKUP(CV298,$CA$113:$DK$300,36,FALSE))=TRUE,0,IF(VLOOKUP(CV298,$CA$113:$DK$300,36,FALSE)="",0,VLOOKUP(CV298,$CA$113:$DK$300,36,FALSE))),DJ298),""),"")</f>
      </c>
      <c s="76">
        <f>IF(ISERROR(VLOOKUP(CV298,$AL$8:$AL$15,1,FALSE))=TRUE,IF(CL298&lt;&gt;"",IF(CL298&gt;0,IF($Z$4&lt;&gt;"",MIN(4,RANK(CL298,$CL$111:$CL$300)),RANK(CL298,$CL$111:$CL$300)),""),""),"")</f>
      </c>
      <c s="75">
        <f>IF(ISERROR(VLOOKUP(CV298,$AL$8:$AL$15,1,FALSE))=TRUE,IF(AND(ISERROR(FIND("NeighMkt",$CX$102))=FALSE,LEFT($CW$111,10)="ALL OUTLET",$CA298&lt;&gt;"",DJ298&lt;&gt;""),"",IF(AND($CV298&lt;&gt;$CW298,$CW298=CN$110),$DJ298,"")),"")</f>
      </c>
      <c s="76">
        <f>IF(ISERROR(VLOOKUP(CV298,$AL$8:$AL$15,1,FALSE))=TRUE,IF(CN298&lt;&gt;"",IF(CN298&gt;0,RANK(CN298,$CN$111:$CN$300),""),""),"")</f>
      </c>
      <c s="75">
        <f>IF(ISERROR(VLOOKUP(CV298,$AL$8:$AL$15,1,FALSE))=TRUE,IF(AND(ISERROR(FIND("NeighMkt",$CX$102))=FALSE,LEFT($CW$111,10)="ALL OUTLET",$CA298&lt;&gt;"",DJ298&lt;&gt;""),"",IF(AND($CV298&lt;&gt;$CW298,$CW298=CP$110),$DJ298,"")),"")</f>
      </c>
      <c s="76">
        <f>IF(ISERROR(VLOOKUP(CV298,$AL$8:$AL$15,1,FALSE))=TRUE,IF(CP298&lt;&gt;"",IF(CP298&gt;0,RANK(CP298,$CP$111:$CP$300),""),""),"")</f>
      </c>
      <c s="75">
        <f>IF(ISERROR(VLOOKUP(CV298,$AL$8:$AL$15,1,FALSE))=TRUE,IF(AND(ISERROR(FIND("NeighMkt",$CX$102))=FALSE,LEFT($CW$111,10)="ALL OUTLET",$CA298&lt;&gt;"",DJ298&lt;&gt;""),"",IF(AND($CV298&lt;&gt;$CW298,$CW298=CR$110),$DJ298,"")),"")</f>
      </c>
      <c s="76">
        <f>IF(ISERROR(VLOOKUP(CV298,$AL$8:$AL$15,1,FALSE))=TRUE,IF(CR298&lt;&gt;"",IF(CR298&gt;0,RANK(CR298,$CR$111:$CR$300),""),""),"")</f>
      </c>
      <c s="75">
        <f>IF(ISERROR(VLOOKUP(CV298,$AL$8:$AL$15,1,FALSE))=TRUE,IF(AND(ISERROR(FIND("NeighMkt",$CX$102))=FALSE,LEFT($CW$111,10)="ALL OUTLET",$CA298&lt;&gt;"",DJ298&lt;&gt;""),"",IF($Z$4="",IF(AND($CV298&lt;&gt;$CW298,$CW298=CT$110),$DJ298,""),IF(AND($CV298&lt;&gt;$CW298,$CW298&lt;&gt;CN$110,$CW298&lt;&gt;CP$110,$CW298&lt;&gt;CR$110,$CW298&lt;&gt;$CV$111),$DJ298,""))),"")</f>
      </c>
      <c s="76">
        <f>IF(ISERROR(VLOOKUP(CV298,$AL$8:$AL$15,1,FALSE))=TRUE,IF(CT298&lt;&gt;"",IF(CT298&gt;0,RANK(CT298,$CT$111:$CT$300),""),""),"")</f>
      </c>
      <c s="65">
        <f t="shared" si="47"/>
      </c>
      <c s="65">
        <f t="shared" si="48"/>
      </c>
      <c s="72">
        <f>IF('[1]Leakage Tree Data'!A197&lt;&gt;"",'[1]Leakage Tree Data'!A197,"")</f>
      </c>
      <c s="72">
        <f>IF('[1]Leakage Tree Data'!B197&lt;&gt;"",'[1]Leakage Tree Data'!B197,"")</f>
      </c>
      <c s="72">
        <f>IF('[1]Leakage Tree Data'!C197&lt;&gt;"",'[1]Leakage Tree Data'!C197,"")</f>
      </c>
      <c s="72">
        <f>IF('[1]Leakage Tree Data'!D197&lt;&gt;"",'[1]Leakage Tree Data'!D197,"")</f>
      </c>
      <c s="72">
        <f>IF('[1]Leakage Tree Data'!E197&lt;&gt;"",'[1]Leakage Tree Data'!E197,"")</f>
      </c>
      <c s="72">
        <f>IF('[1]Leakage Tree Data'!F197&lt;&gt;"",'[1]Leakage Tree Data'!F197,"")</f>
      </c>
      <c s="72">
        <f>IF('[1]Leakage Tree Data'!G197&lt;&gt;"",'[1]Leakage Tree Data'!G197,"")</f>
      </c>
      <c s="72">
        <f>IF('[1]Leakage Tree Data'!H197&lt;&gt;"",'[1]Leakage Tree Data'!H197,"")</f>
      </c>
      <c s="72">
        <f>IF('[1]Leakage Tree Data'!I197&lt;&gt;"",'[1]Leakage Tree Data'!I197,"")</f>
      </c>
      <c s="72">
        <f>IF('[1]Leakage Tree Data'!J197&lt;&gt;"",'[1]Leakage Tree Data'!J197,"")</f>
      </c>
      <c s="72">
        <f>IF('[1]Leakage Tree Data'!K197&lt;&gt;"",'[1]Leakage Tree Data'!K197,"")</f>
      </c>
      <c s="72">
        <f>IF('[1]Leakage Tree Data'!L197&lt;&gt;"",'[1]Leakage Tree Data'!L197,"")</f>
      </c>
      <c s="72">
        <f>IF('[1]Leakage Tree Data'!M197&lt;&gt;"",'[1]Leakage Tree Data'!M197,"")</f>
      </c>
      <c s="72">
        <f>IF('[1]Leakage Tree Data'!N197&lt;&gt;"",'[1]Leakage Tree Data'!N197,"")</f>
      </c>
      <c s="72">
        <f>IF('[1]Leakage Tree Data'!O197&lt;&gt;"",'[1]Leakage Tree Data'!O197,"")</f>
      </c>
      <c s="72">
        <f>IF('[1]Leakage Tree Data'!P197&lt;&gt;"",'[1]Leakage Tree Data'!P197,"")</f>
      </c>
      <c s="72">
        <f>IF('[1]Leakage Tree Data'!Q197&lt;&gt;"",'[1]Leakage Tree Data'!Q197,"")</f>
      </c>
      <c s="72">
        <f>IF('[1]Leakage Tree Data'!R197&lt;&gt;"",'[1]Leakage Tree Data'!R197,"")</f>
      </c>
      <c s="72">
        <f>IF('[1]Leakage Tree Data'!S197&lt;&gt;"",'[1]Leakage Tree Data'!S197,"")</f>
      </c>
      <c s="72">
        <f>IF('[1]Leakage Tree Data'!T197&lt;&gt;"",'[1]Leakage Tree Data'!T197,"")</f>
      </c>
      <c s="72">
        <f>IF('[1]Leakage Tree Data'!U197&lt;&gt;"",'[1]Leakage Tree Data'!U197,"")</f>
      </c>
      <c s="72">
        <f>IF('[1]Leakage Tree Data'!V197&lt;&gt;"",'[1]Leakage Tree Data'!V197,"")</f>
      </c>
      <c s="72">
        <f>IF('[1]Leakage Tree Data'!W197&lt;&gt;"",'[1]Leakage Tree Data'!W197,"")</f>
      </c>
      <c s="72">
        <f>IF('[1]Leakage Tree Data'!X197&lt;&gt;"",'[1]Leakage Tree Data'!X197,"")</f>
      </c>
      <c s="72">
        <f>IF('[1]Leakage Tree Data'!Y197&lt;&gt;"",'[1]Leakage Tree Data'!Y197,"")</f>
      </c>
      <c s="72">
        <f>IF('[1]Leakage Tree Data'!Z197&lt;&gt;"",'[1]Leakage Tree Data'!Z197,"")</f>
      </c>
      <c s="72">
        <f>IF('[1]Leakage Tree Data'!AA197&lt;&gt;"",'[1]Leakage Tree Data'!AA197,"")</f>
      </c>
      <c s="72">
        <f>IF('[1]Leakage Tree Data'!AB197&lt;&gt;"",'[1]Leakage Tree Data'!AB197,"")</f>
      </c>
      <c s="72">
        <f>IF('[1]Leakage Tree Data'!AC197&lt;&gt;"",'[1]Leakage Tree Data'!AC197,"")</f>
      </c>
      <c s="72">
        <f>IF('[1]Leakage Tree Data'!AD197&lt;&gt;"",'[1]Leakage Tree Data'!AD197,"")</f>
      </c>
      <c s="72">
        <f>IF('[1]Leakage Tree Data'!AE197&lt;&gt;"",'[1]Leakage Tree Data'!AE197,"")</f>
      </c>
      <c s="73">
        <f t="shared" si="49"/>
      </c>
      <c s="73">
        <f t="shared" si="50"/>
      </c>
      <c s="73">
        <f t="shared" si="51"/>
      </c>
      <c s="73">
        <f t="shared" si="52"/>
      </c>
      <c s="74">
        <f t="shared" si="53"/>
      </c>
      <c s="74">
        <f t="shared" si="54"/>
      </c>
      <c s="69">
        <f t="shared" si="55"/>
      </c>
      <c s="69">
        <f t="shared" si="56"/>
      </c>
    </row>
    <row r="299" spans="1:140" s="92" customFormat="1" ht="15">
      <c r="A299"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299,$AL$8:$AL$15,1,FALSE))=TRUE,IF(AND(CV299=CW299,CV299&lt;&gt;"",DI$111&lt;&gt;"",DK299&lt;&gt;""),IF(CW$101="Y",DK299-IF(ISERROR(VLOOKUP(CV299,$CA$113:$DK$300,37,FALSE))=TRUE,0,IF(VLOOKUP(CV299,$CA$113:$DK$300,37,FALSE)="",0,VLOOKUP(CV299,$CA$113:$DK$300,37,FALSE))),DK299-IF(AND(CW$102="Y",CV299=$CW$111),DI$111,0)),""),"")</f>
      </c>
      <c s="76">
        <f>IF(ISERROR(VLOOKUP(CV299,$AL$8:$AL$15,1,FALSE))=TRUE,IF(CB299&lt;&gt;"",IF(CB299&gt;0,IF(Z$4&lt;&gt;"",MIN(4,RANK(CB299,$CB$111:$CB$300)),RANK(CB299,$CB$111:$CB$300)),""),""),"")</f>
      </c>
      <c s="75">
        <f>IF(ISERROR(VLOOKUP(CV299,$AL$8:$AL$15,1,FALSE))=TRUE,IF(AND(ISERROR(FIND("NeighMkt",$CX$102))=FALSE,LEFT($CW$111,10)="ALL OUTLET",$CA299&lt;&gt;"",DK299&lt;&gt;""),"",IF(AND($CV299&lt;&gt;$CW299,$CW299=CD$110),$DK299,"")),"")</f>
      </c>
      <c s="76">
        <f>IF(ISERROR(VLOOKUP(CV299,$AL$8:$AL$15,1,FALSE))=TRUE,IF(CD299&lt;&gt;"",IF(CD299&gt;0,RANK(CD299,$CD$111:$CD$300),""),""),"")</f>
      </c>
      <c s="75">
        <f>IF(ISERROR(VLOOKUP(CV299,$AL$8:$AL$15,1,FALSE))=TRUE,IF(AND(ISERROR(FIND("NeighMkt",$CX$102))=FALSE,LEFT($CW$111,10)="ALL OUTLET",$CA299&lt;&gt;"",DK299&lt;&gt;""),"",IF(AND($CV299&lt;&gt;$CW299,$CW299=CF$110),$DK299,"")),"")</f>
      </c>
      <c s="76">
        <f>IF(ISERROR(VLOOKUP(CV299,$AL$8:$AL$15,1,FALSE))=TRUE,IF(CF299&lt;&gt;"",IF(CF299&gt;0,RANK(CF299,$CF$111:$CF$300),""),""),"")</f>
      </c>
      <c s="75">
        <f>IF(ISERROR(VLOOKUP(CV299,$AL$8:$AL$15,1,FALSE))=TRUE,IF(AND(ISERROR(FIND("NeighMkt",$CX$102))=FALSE,LEFT($CW$111,10)="ALL OUTLET",$CA299&lt;&gt;"",DK299&lt;&gt;""),"",IF(AND($CV299&lt;&gt;$CW299,$CW299=CH$110),$DK299,"")),"")</f>
      </c>
      <c s="76">
        <f>IF(ISERROR(VLOOKUP(CV299,$AL$8:$AL$15,1,FALSE))=TRUE,IF(CH299&lt;&gt;"",IF(CH299&gt;0,RANK(CH299,$CH$111:$CH$300),""),""),"")</f>
      </c>
      <c s="75">
        <f>IF(ISERROR(VLOOKUP(CV299,$AL$8:$AL$15,1,FALSE))=TRUE,IF(AND(ISERROR(FIND("NeighMkt",$CX$102))=FALSE,LEFT($CW$111,10)="ALL OUTLET",$CA299&lt;&gt;"",DK299&lt;&gt;""),"",IF($Z$4="",IF(AND($CV299&lt;&gt;$CW299,$CW299=CJ$110),$DK299,""),IF(AND($CV299&lt;&gt;$CW299,$CW299&lt;&gt;CD$110,$CW299&lt;&gt;CF$110,$CW299&lt;&gt;CH$110,$CW299&lt;&gt;$CV$111),$DK299,""))),"")</f>
      </c>
      <c s="76">
        <f>IF(ISERROR(VLOOKUP(CV299,$AL$8:$AL$15,1,FALSE))=TRUE,IF(CJ299&lt;&gt;"",IF(CJ299&gt;0,RANK(CJ299,$CJ$111:$CJ$300),""),""),"")</f>
      </c>
      <c s="75">
        <f>IF(ISERROR(VLOOKUP(CV299,$AL$8:$AL$15,1,FALSE))=TRUE,IF(AND(CV299=CW299,CV299&lt;&gt;"",DJ299&lt;&gt;""),IF(AND(ISERROR(FIND("NeighMkt",$CX$102))=FALSE,LEFT($CW$111,10)="ALL OUTLET"),DJ299-IF(ISERROR(VLOOKUP(CV299,$CA$113:$DK$300,36,FALSE))=TRUE,0,IF(VLOOKUP(CV299,$CA$113:$DK$300,36,FALSE)="",0,VLOOKUP(CV299,$CA$113:$DK$300,36,FALSE))),DJ299),""),"")</f>
      </c>
      <c s="76">
        <f>IF(ISERROR(VLOOKUP(CV299,$AL$8:$AL$15,1,FALSE))=TRUE,IF(CL299&lt;&gt;"",IF(CL299&gt;0,IF($Z$4&lt;&gt;"",MIN(4,RANK(CL299,$CL$111:$CL$300)),RANK(CL299,$CL$111:$CL$300)),""),""),"")</f>
      </c>
      <c s="75">
        <f>IF(ISERROR(VLOOKUP(CV299,$AL$8:$AL$15,1,FALSE))=TRUE,IF(AND(ISERROR(FIND("NeighMkt",$CX$102))=FALSE,LEFT($CW$111,10)="ALL OUTLET",$CA299&lt;&gt;"",DJ299&lt;&gt;""),"",IF(AND($CV299&lt;&gt;$CW299,$CW299=CN$110),$DJ299,"")),"")</f>
      </c>
      <c s="76">
        <f>IF(ISERROR(VLOOKUP(CV299,$AL$8:$AL$15,1,FALSE))=TRUE,IF(CN299&lt;&gt;"",IF(CN299&gt;0,RANK(CN299,$CN$111:$CN$300),""),""),"")</f>
      </c>
      <c s="75">
        <f>IF(ISERROR(VLOOKUP(CV299,$AL$8:$AL$15,1,FALSE))=TRUE,IF(AND(ISERROR(FIND("NeighMkt",$CX$102))=FALSE,LEFT($CW$111,10)="ALL OUTLET",$CA299&lt;&gt;"",DJ299&lt;&gt;""),"",IF(AND($CV299&lt;&gt;$CW299,$CW299=CP$110),$DJ299,"")),"")</f>
      </c>
      <c s="76">
        <f>IF(ISERROR(VLOOKUP(CV299,$AL$8:$AL$15,1,FALSE))=TRUE,IF(CP299&lt;&gt;"",IF(CP299&gt;0,RANK(CP299,$CP$111:$CP$300),""),""),"")</f>
      </c>
      <c s="75">
        <f>IF(ISERROR(VLOOKUP(CV299,$AL$8:$AL$15,1,FALSE))=TRUE,IF(AND(ISERROR(FIND("NeighMkt",$CX$102))=FALSE,LEFT($CW$111,10)="ALL OUTLET",$CA299&lt;&gt;"",DJ299&lt;&gt;""),"",IF(AND($CV299&lt;&gt;$CW299,$CW299=CR$110),$DJ299,"")),"")</f>
      </c>
      <c s="76">
        <f>IF(ISERROR(VLOOKUP(CV299,$AL$8:$AL$15,1,FALSE))=TRUE,IF(CR299&lt;&gt;"",IF(CR299&gt;0,RANK(CR299,$CR$111:$CR$300),""),""),"")</f>
      </c>
      <c s="75">
        <f>IF(ISERROR(VLOOKUP(CV299,$AL$8:$AL$15,1,FALSE))=TRUE,IF(AND(ISERROR(FIND("NeighMkt",$CX$102))=FALSE,LEFT($CW$111,10)="ALL OUTLET",$CA299&lt;&gt;"",DJ299&lt;&gt;""),"",IF($Z$4="",IF(AND($CV299&lt;&gt;$CW299,$CW299=CT$110),$DJ299,""),IF(AND($CV299&lt;&gt;$CW299,$CW299&lt;&gt;CN$110,$CW299&lt;&gt;CP$110,$CW299&lt;&gt;CR$110,$CW299&lt;&gt;$CV$111),$DJ299,""))),"")</f>
      </c>
      <c s="76">
        <f>IF(ISERROR(VLOOKUP(CV299,$AL$8:$AL$15,1,FALSE))=TRUE,IF(CT299&lt;&gt;"",IF(CT299&gt;0,RANK(CT299,$CT$111:$CT$300),""),""),"")</f>
      </c>
      <c s="65">
        <f t="shared" si="47"/>
      </c>
      <c s="65">
        <f t="shared" si="48"/>
      </c>
      <c s="72">
        <f>IF('[1]Leakage Tree Data'!A198&lt;&gt;"",'[1]Leakage Tree Data'!A198,"")</f>
      </c>
      <c s="72">
        <f>IF('[1]Leakage Tree Data'!B198&lt;&gt;"",'[1]Leakage Tree Data'!B198,"")</f>
      </c>
      <c s="72">
        <f>IF('[1]Leakage Tree Data'!C198&lt;&gt;"",'[1]Leakage Tree Data'!C198,"")</f>
      </c>
      <c s="72">
        <f>IF('[1]Leakage Tree Data'!D198&lt;&gt;"",'[1]Leakage Tree Data'!D198,"")</f>
      </c>
      <c s="72">
        <f>IF('[1]Leakage Tree Data'!E198&lt;&gt;"",'[1]Leakage Tree Data'!E198,"")</f>
      </c>
      <c s="72">
        <f>IF('[1]Leakage Tree Data'!F198&lt;&gt;"",'[1]Leakage Tree Data'!F198,"")</f>
      </c>
      <c s="72">
        <f>IF('[1]Leakage Tree Data'!G198&lt;&gt;"",'[1]Leakage Tree Data'!G198,"")</f>
      </c>
      <c s="72">
        <f>IF('[1]Leakage Tree Data'!H198&lt;&gt;"",'[1]Leakage Tree Data'!H198,"")</f>
      </c>
      <c s="72">
        <f>IF('[1]Leakage Tree Data'!I198&lt;&gt;"",'[1]Leakage Tree Data'!I198,"")</f>
      </c>
      <c s="72">
        <f>IF('[1]Leakage Tree Data'!J198&lt;&gt;"",'[1]Leakage Tree Data'!J198,"")</f>
      </c>
      <c s="72">
        <f>IF('[1]Leakage Tree Data'!K198&lt;&gt;"",'[1]Leakage Tree Data'!K198,"")</f>
      </c>
      <c s="72">
        <f>IF('[1]Leakage Tree Data'!L198&lt;&gt;"",'[1]Leakage Tree Data'!L198,"")</f>
      </c>
      <c s="72">
        <f>IF('[1]Leakage Tree Data'!M198&lt;&gt;"",'[1]Leakage Tree Data'!M198,"")</f>
      </c>
      <c s="72">
        <f>IF('[1]Leakage Tree Data'!N198&lt;&gt;"",'[1]Leakage Tree Data'!N198,"")</f>
      </c>
      <c s="72">
        <f>IF('[1]Leakage Tree Data'!O198&lt;&gt;"",'[1]Leakage Tree Data'!O198,"")</f>
      </c>
      <c s="72">
        <f>IF('[1]Leakage Tree Data'!P198&lt;&gt;"",'[1]Leakage Tree Data'!P198,"")</f>
      </c>
      <c s="72">
        <f>IF('[1]Leakage Tree Data'!Q198&lt;&gt;"",'[1]Leakage Tree Data'!Q198,"")</f>
      </c>
      <c s="72">
        <f>IF('[1]Leakage Tree Data'!R198&lt;&gt;"",'[1]Leakage Tree Data'!R198,"")</f>
      </c>
      <c s="72">
        <f>IF('[1]Leakage Tree Data'!S198&lt;&gt;"",'[1]Leakage Tree Data'!S198,"")</f>
      </c>
      <c s="72">
        <f>IF('[1]Leakage Tree Data'!T198&lt;&gt;"",'[1]Leakage Tree Data'!T198,"")</f>
      </c>
      <c s="72">
        <f>IF('[1]Leakage Tree Data'!U198&lt;&gt;"",'[1]Leakage Tree Data'!U198,"")</f>
      </c>
      <c s="72">
        <f>IF('[1]Leakage Tree Data'!V198&lt;&gt;"",'[1]Leakage Tree Data'!V198,"")</f>
      </c>
      <c s="72">
        <f>IF('[1]Leakage Tree Data'!W198&lt;&gt;"",'[1]Leakage Tree Data'!W198,"")</f>
      </c>
      <c s="72">
        <f>IF('[1]Leakage Tree Data'!X198&lt;&gt;"",'[1]Leakage Tree Data'!X198,"")</f>
      </c>
      <c s="72">
        <f>IF('[1]Leakage Tree Data'!Y198&lt;&gt;"",'[1]Leakage Tree Data'!Y198,"")</f>
      </c>
      <c s="72">
        <f>IF('[1]Leakage Tree Data'!Z198&lt;&gt;"",'[1]Leakage Tree Data'!Z198,"")</f>
      </c>
      <c s="72">
        <f>IF('[1]Leakage Tree Data'!AA198&lt;&gt;"",'[1]Leakage Tree Data'!AA198,"")</f>
      </c>
      <c s="72">
        <f>IF('[1]Leakage Tree Data'!AB198&lt;&gt;"",'[1]Leakage Tree Data'!AB198,"")</f>
      </c>
      <c s="72">
        <f>IF('[1]Leakage Tree Data'!AC198&lt;&gt;"",'[1]Leakage Tree Data'!AC198,"")</f>
      </c>
      <c s="72">
        <f>IF('[1]Leakage Tree Data'!AD198&lt;&gt;"",'[1]Leakage Tree Data'!AD198,"")</f>
      </c>
      <c s="72">
        <f>IF('[1]Leakage Tree Data'!AE198&lt;&gt;"",'[1]Leakage Tree Data'!AE198,"")</f>
      </c>
      <c s="73">
        <f t="shared" si="49"/>
      </c>
      <c s="73">
        <f t="shared" si="50"/>
      </c>
      <c s="73">
        <f t="shared" si="51"/>
      </c>
      <c s="73">
        <f t="shared" si="52"/>
      </c>
      <c s="74">
        <f t="shared" si="53"/>
      </c>
      <c s="74">
        <f t="shared" si="54"/>
      </c>
      <c s="69">
        <f t="shared" si="55"/>
      </c>
      <c s="69">
        <f t="shared" si="56"/>
      </c>
    </row>
    <row r="300" spans="1:140" s="92" customFormat="1" ht="15">
      <c r="A30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f t="shared" si="46"/>
      </c>
      <c s="75">
        <f>IF(ISERROR(VLOOKUP(CV300,$AL$8:$AL$15,1,FALSE))=TRUE,IF(AND(CV300=CW300,CV300&lt;&gt;"",DI$111&lt;&gt;"",DK300&lt;&gt;""),IF(CW$101="Y",DK300-IF(ISERROR(VLOOKUP(CV300,$CA$113:$DK$300,37,FALSE))=TRUE,0,IF(VLOOKUP(CV300,$CA$113:$DK$300,37,FALSE)="",0,VLOOKUP(CV300,$CA$113:$DK$300,37,FALSE))),DK300-IF(AND(CW$102="Y",CV300=$CW$111),DI$111,0)),""),"")</f>
      </c>
      <c s="76">
        <f>IF(ISERROR(VLOOKUP(CV300,$AL$8:$AL$15,1,FALSE))=TRUE,IF(CB300&lt;&gt;"",IF(CB300&gt;0,IF(Z$4&lt;&gt;"",MIN(4,RANK(CB300,$CB$111:$CB$300)),RANK(CB300,$CB$111:$CB$300)),""),""),"")</f>
      </c>
      <c s="75">
        <f>IF(ISERROR(VLOOKUP(CV300,$AL$8:$AL$15,1,FALSE))=TRUE,IF(AND(ISERROR(FIND("NeighMkt",$CX$102))=FALSE,LEFT($CW$111,10)="ALL OUTLET",$CA300&lt;&gt;"",DK300&lt;&gt;""),"",IF(AND($CV300&lt;&gt;$CW300,$CW300=CD$110),$DK300,"")),"")</f>
      </c>
      <c s="76">
        <f>IF(ISERROR(VLOOKUP(CV300,$AL$8:$AL$15,1,FALSE))=TRUE,IF(CD300&lt;&gt;"",IF(CD300&gt;0,RANK(CD300,$CD$111:$CD$300),""),""),"")</f>
      </c>
      <c s="75">
        <f>IF(ISERROR(VLOOKUP(CV300,$AL$8:$AL$15,1,FALSE))=TRUE,IF(AND(ISERROR(FIND("NeighMkt",$CX$102))=FALSE,LEFT($CW$111,10)="ALL OUTLET",$CA300&lt;&gt;"",DK300&lt;&gt;""),"",IF(AND($CV300&lt;&gt;$CW300,$CW300=CF$110),$DK300,"")),"")</f>
      </c>
      <c s="76">
        <f>IF(ISERROR(VLOOKUP(CV300,$AL$8:$AL$15,1,FALSE))=TRUE,IF(CF300&lt;&gt;"",IF(CF300&gt;0,RANK(CF300,$CF$111:$CF$300),""),""),"")</f>
      </c>
      <c s="75">
        <f>IF(ISERROR(VLOOKUP(CV300,$AL$8:$AL$15,1,FALSE))=TRUE,IF(AND(ISERROR(FIND("NeighMkt",$CX$102))=FALSE,LEFT($CW$111,10)="ALL OUTLET",$CA300&lt;&gt;"",DK300&lt;&gt;""),"",IF(AND($CV300&lt;&gt;$CW300,$CW300=CH$110),$DK300,"")),"")</f>
      </c>
      <c s="76">
        <f>IF(ISERROR(VLOOKUP(CV300,$AL$8:$AL$15,1,FALSE))=TRUE,IF(CH300&lt;&gt;"",IF(CH300&gt;0,RANK(CH300,$CH$111:$CH$300),""),""),"")</f>
      </c>
      <c s="75">
        <f>IF(ISERROR(VLOOKUP(CV300,$AL$8:$AL$15,1,FALSE))=TRUE,IF(AND(ISERROR(FIND("NeighMkt",$CX$102))=FALSE,LEFT($CW$111,10)="ALL OUTLET",$CA300&lt;&gt;"",DK300&lt;&gt;""),"",IF($Z$4="",IF(AND($CV300&lt;&gt;$CW300,$CW300=CJ$110),$DK300,""),IF(AND($CV300&lt;&gt;$CW300,$CW300&lt;&gt;CD$110,$CW300&lt;&gt;CF$110,$CW300&lt;&gt;CH$110,$CW300&lt;&gt;$CV$111),$DK300,""))),"")</f>
      </c>
      <c s="76">
        <f>IF(ISERROR(VLOOKUP(CV300,$AL$8:$AL$15,1,FALSE))=TRUE,IF(CJ300&lt;&gt;"",IF(CJ300&gt;0,RANK(CJ300,$CJ$111:$CJ$300),""),""),"")</f>
      </c>
      <c s="75">
        <f>IF(ISERROR(VLOOKUP(CV300,$AL$8:$AL$15,1,FALSE))=TRUE,IF(AND(CV300=CW300,CV300&lt;&gt;"",DJ300&lt;&gt;""),IF(AND(ISERROR(FIND("NeighMkt",$CX$102))=FALSE,LEFT($CW$111,10)="ALL OUTLET"),DJ300-IF(ISERROR(VLOOKUP(CV300,$CA$113:$DK$300,36,FALSE))=TRUE,0,IF(VLOOKUP(CV300,$CA$113:$DK$300,36,FALSE)="",0,VLOOKUP(CV300,$CA$113:$DK$300,36,FALSE))),DJ300),""),"")</f>
      </c>
      <c s="76">
        <f>IF(ISERROR(VLOOKUP(CV300,$AL$8:$AL$15,1,FALSE))=TRUE,IF(CL300&lt;&gt;"",IF(CL300&gt;0,IF($Z$4&lt;&gt;"",MIN(4,RANK(CL300,$CL$111:$CL$300)),RANK(CL300,$CL$111:$CL$300)),""),""),"")</f>
      </c>
      <c s="75">
        <f>IF(ISERROR(VLOOKUP(CV300,$AL$8:$AL$15,1,FALSE))=TRUE,IF(AND(ISERROR(FIND("NeighMkt",$CX$102))=FALSE,LEFT($CW$111,10)="ALL OUTLET",$CA300&lt;&gt;"",DJ300&lt;&gt;""),"",IF(AND($CV300&lt;&gt;$CW300,$CW300=CN$110),$DJ300,"")),"")</f>
      </c>
      <c s="76">
        <f>IF(ISERROR(VLOOKUP(CV300,$AL$8:$AL$15,1,FALSE))=TRUE,IF(CN300&lt;&gt;"",IF(CN300&gt;0,RANK(CN300,$CN$111:$CN$300),""),""),"")</f>
      </c>
      <c s="75">
        <f>IF(ISERROR(VLOOKUP(CV300,$AL$8:$AL$15,1,FALSE))=TRUE,IF(AND(ISERROR(FIND("NeighMkt",$CX$102))=FALSE,LEFT($CW$111,10)="ALL OUTLET",$CA300&lt;&gt;"",DJ300&lt;&gt;""),"",IF(AND($CV300&lt;&gt;$CW300,$CW300=CP$110),$DJ300,"")),"")</f>
      </c>
      <c s="76">
        <f>IF(ISERROR(VLOOKUP(CV300,$AL$8:$AL$15,1,FALSE))=TRUE,IF(CP300&lt;&gt;"",IF(CP300&gt;0,RANK(CP300,$CP$111:$CP$300),""),""),"")</f>
      </c>
      <c s="75">
        <f>IF(ISERROR(VLOOKUP(CV300,$AL$8:$AL$15,1,FALSE))=TRUE,IF(AND(ISERROR(FIND("NeighMkt",$CX$102))=FALSE,LEFT($CW$111,10)="ALL OUTLET",$CA300&lt;&gt;"",DJ300&lt;&gt;""),"",IF(AND($CV300&lt;&gt;$CW300,$CW300=CR$110),$DJ300,"")),"")</f>
      </c>
      <c s="76">
        <f>IF(ISERROR(VLOOKUP(CV300,$AL$8:$AL$15,1,FALSE))=TRUE,IF(CR300&lt;&gt;"",IF(CR300&gt;0,RANK(CR300,$CR$111:$CR$300),""),""),"")</f>
      </c>
      <c s="75">
        <f>IF(ISERROR(VLOOKUP(CV300,$AL$8:$AL$15,1,FALSE))=TRUE,IF(AND(ISERROR(FIND("NeighMkt",$CX$102))=FALSE,LEFT($CW$111,10)="ALL OUTLET",$CA300&lt;&gt;"",DJ300&lt;&gt;""),"",IF($Z$4="",IF(AND($CV300&lt;&gt;$CW300,$CW300=CT$110),$DJ300,""),IF(AND($CV300&lt;&gt;$CW300,$CW300&lt;&gt;CN$110,$CW300&lt;&gt;CP$110,$CW300&lt;&gt;CR$110,$CW300&lt;&gt;$CV$111),$DJ300,""))),"")</f>
      </c>
      <c s="76">
        <f>IF(ISERROR(VLOOKUP(CV300,$AL$8:$AL$15,1,FALSE))=TRUE,IF(CT300&lt;&gt;"",IF(CT300&gt;0,RANK(CT300,$CT$111:$CT$300),""),""),"")</f>
      </c>
      <c s="65">
        <f t="shared" si="47"/>
      </c>
      <c s="65">
        <f t="shared" si="48"/>
      </c>
      <c s="72">
        <f>IF('[1]Leakage Tree Data'!A199&lt;&gt;"",'[1]Leakage Tree Data'!A199,"")</f>
      </c>
      <c s="72">
        <f>IF('[1]Leakage Tree Data'!B199&lt;&gt;"",'[1]Leakage Tree Data'!B199,"")</f>
      </c>
      <c s="72">
        <f>IF('[1]Leakage Tree Data'!C199&lt;&gt;"",'[1]Leakage Tree Data'!C199,"")</f>
      </c>
      <c s="72">
        <f>IF('[1]Leakage Tree Data'!D199&lt;&gt;"",'[1]Leakage Tree Data'!D199,"")</f>
      </c>
      <c s="72">
        <f>IF('[1]Leakage Tree Data'!E199&lt;&gt;"",'[1]Leakage Tree Data'!E199,"")</f>
      </c>
      <c s="72">
        <f>IF('[1]Leakage Tree Data'!F199&lt;&gt;"",'[1]Leakage Tree Data'!F199,"")</f>
      </c>
      <c s="72">
        <f>IF('[1]Leakage Tree Data'!G199&lt;&gt;"",'[1]Leakage Tree Data'!G199,"")</f>
      </c>
      <c s="72">
        <f>IF('[1]Leakage Tree Data'!H199&lt;&gt;"",'[1]Leakage Tree Data'!H199,"")</f>
      </c>
      <c s="72">
        <f>IF('[1]Leakage Tree Data'!I199&lt;&gt;"",'[1]Leakage Tree Data'!I199,"")</f>
      </c>
      <c s="72">
        <f>IF('[1]Leakage Tree Data'!J199&lt;&gt;"",'[1]Leakage Tree Data'!J199,"")</f>
      </c>
      <c s="72">
        <f>IF('[1]Leakage Tree Data'!K199&lt;&gt;"",'[1]Leakage Tree Data'!K199,"")</f>
      </c>
      <c s="72">
        <f>IF('[1]Leakage Tree Data'!L199&lt;&gt;"",'[1]Leakage Tree Data'!L199,"")</f>
      </c>
      <c s="72">
        <f>IF('[1]Leakage Tree Data'!M199&lt;&gt;"",'[1]Leakage Tree Data'!M199,"")</f>
      </c>
      <c s="72">
        <f>IF('[1]Leakage Tree Data'!N199&lt;&gt;"",'[1]Leakage Tree Data'!N199,"")</f>
      </c>
      <c s="72">
        <f>IF('[1]Leakage Tree Data'!O199&lt;&gt;"",'[1]Leakage Tree Data'!O199,"")</f>
      </c>
      <c s="72">
        <f>IF('[1]Leakage Tree Data'!P199&lt;&gt;"",'[1]Leakage Tree Data'!P199,"")</f>
      </c>
      <c s="72">
        <f>IF('[1]Leakage Tree Data'!Q199&lt;&gt;"",'[1]Leakage Tree Data'!Q199,"")</f>
      </c>
      <c s="72">
        <f>IF('[1]Leakage Tree Data'!R199&lt;&gt;"",'[1]Leakage Tree Data'!R199,"")</f>
      </c>
      <c s="72">
        <f>IF('[1]Leakage Tree Data'!S199&lt;&gt;"",'[1]Leakage Tree Data'!S199,"")</f>
      </c>
      <c s="72">
        <f>IF('[1]Leakage Tree Data'!T199&lt;&gt;"",'[1]Leakage Tree Data'!T199,"")</f>
      </c>
      <c s="72">
        <f>IF('[1]Leakage Tree Data'!U199&lt;&gt;"",'[1]Leakage Tree Data'!U199,"")</f>
      </c>
      <c s="72">
        <f>IF('[1]Leakage Tree Data'!V199&lt;&gt;"",'[1]Leakage Tree Data'!V199,"")</f>
      </c>
      <c s="72">
        <f>IF('[1]Leakage Tree Data'!W199&lt;&gt;"",'[1]Leakage Tree Data'!W199,"")</f>
      </c>
      <c s="72">
        <f>IF('[1]Leakage Tree Data'!X199&lt;&gt;"",'[1]Leakage Tree Data'!X199,"")</f>
      </c>
      <c s="72">
        <f>IF('[1]Leakage Tree Data'!Y199&lt;&gt;"",'[1]Leakage Tree Data'!Y199,"")</f>
      </c>
      <c s="72">
        <f>IF('[1]Leakage Tree Data'!Z199&lt;&gt;"",'[1]Leakage Tree Data'!Z199,"")</f>
      </c>
      <c s="72">
        <f>IF('[1]Leakage Tree Data'!AA199&lt;&gt;"",'[1]Leakage Tree Data'!AA199,"")</f>
      </c>
      <c s="72">
        <f>IF('[1]Leakage Tree Data'!AB199&lt;&gt;"",'[1]Leakage Tree Data'!AB199,"")</f>
      </c>
      <c s="72">
        <f>IF('[1]Leakage Tree Data'!AC199&lt;&gt;"",'[1]Leakage Tree Data'!AC199,"")</f>
      </c>
      <c s="72">
        <f>IF('[1]Leakage Tree Data'!AD199&lt;&gt;"",'[1]Leakage Tree Data'!AD199,"")</f>
      </c>
      <c s="72">
        <f>IF('[1]Leakage Tree Data'!AE199&lt;&gt;"",'[1]Leakage Tree Data'!AE199,"")</f>
      </c>
      <c s="73">
        <f t="shared" si="49"/>
      </c>
      <c s="73">
        <f t="shared" si="50"/>
      </c>
      <c s="73">
        <f t="shared" si="51"/>
      </c>
      <c s="73">
        <f t="shared" si="52"/>
      </c>
      <c s="74">
        <f t="shared" si="53"/>
      </c>
      <c s="74">
        <f t="shared" si="54"/>
      </c>
      <c s="69">
        <f t="shared" si="55"/>
      </c>
      <c s="69">
        <f t="shared" si="56"/>
      </c>
    </row>
    <row r="301" spans="1:1" ht="14.25">
      <c r="A301" s="19" t="s">
        <v>43</v>
      </c>
    </row>
    <row r="302" spans="1:12" ht="15">
      <c r="A302" s="19" t="s">
        <v>54</v>
      </c>
      <c r="L302"/>
    </row>
    <row r="303" spans="1:12" ht="15">
      <c r="A303" s="19" t="s">
        <v>55</v>
      </c>
      <c r="L303"/>
    </row>
    <row r="304" spans="1:12" ht="15">
      <c r="A304" s="19" t="s">
        <v>56</v>
      </c>
      <c r="L304"/>
    </row>
    <row r="305" spans="1:12" ht="15">
      <c r="A305" s="19" t="s">
        <v>57</v>
      </c>
      <c r="L305"/>
    </row>
    <row r="306" spans="1:12" ht="15">
      <c r="A306" s="19" t="s">
        <v>58</v>
      </c>
      <c r="L306"/>
    </row>
    <row r="307" spans="1:12" ht="15">
      <c r="A307" s="19" t="s">
        <v>59</v>
      </c>
      <c r="L307"/>
    </row>
    <row r="308" spans="1:12" ht="15">
      <c r="A308" s="19" t="s">
        <v>60</v>
      </c>
      <c r="L308"/>
    </row>
    <row r="309" spans="1:12" ht="15">
      <c r="A309" s="19" t="s">
        <v>61</v>
      </c>
      <c r="L309"/>
    </row>
    <row r="310" spans="1:12" ht="15">
      <c r="A310" s="19" t="s">
        <v>62</v>
      </c>
      <c r="L310"/>
    </row>
    <row r="311" spans="1:12" ht="15">
      <c r="A311" s="19" t="s">
        <v>63</v>
      </c>
      <c r="L311"/>
    </row>
    <row r="312" spans="1:12" ht="15">
      <c r="A312" s="19" t="s">
        <v>64</v>
      </c>
      <c r="L312"/>
    </row>
    <row r="313" spans="1:12" ht="15">
      <c r="A313" s="19" t="s">
        <v>65</v>
      </c>
      <c r="L313"/>
    </row>
    <row r="314" spans="1:12" ht="15">
      <c r="A314" s="19" t="s">
        <v>66</v>
      </c>
      <c r="L314"/>
    </row>
    <row r="315" spans="1:12" s="112" customFormat="1" ht="15">
      <c r="A315" s="112" t="s">
        <v>472</v>
      </c>
      <c r="L315"/>
    </row>
    <row r="316" spans="1:12" s="112" customFormat="1" ht="15">
      <c r="A316" s="113" t="s">
        <v>468</v>
      </c>
      <c s="113"/>
      <c s="113"/>
      <c r="L316"/>
    </row>
    <row r="317" spans="1:12" s="112" customFormat="1" ht="15">
      <c r="A317" s="113" t="s">
        <v>469</v>
      </c>
      <c s="113"/>
      <c s="113"/>
      <c r="L317"/>
    </row>
    <row r="318" spans="1:12" s="112" customFormat="1" ht="15">
      <c r="A318" s="113" t="s">
        <v>470</v>
      </c>
      <c s="113"/>
      <c s="113"/>
      <c r="L318"/>
    </row>
    <row r="319" spans="1:12" ht="15">
      <c r="A319" s="113" t="s">
        <v>471</v>
      </c>
      <c s="113"/>
      <c s="113"/>
      <c r="L319"/>
    </row>
    <row r="320" spans="12:12" ht="15">
      <c r="L320"/>
    </row>
    <row r="321" spans="12:12" ht="15">
      <c r="L321"/>
    </row>
    <row r="328" spans="1:4" ht="15">
      <c r="A328"/>
      <c/>
      <c/>
      <c/>
    </row>
    <row r="329" spans="1:4" ht="15">
      <c r="A329"/>
      <c/>
      <c/>
      <c/>
    </row>
    <row r="330" spans="1:4" ht="15">
      <c r="A330"/>
      <c/>
      <c/>
      <c/>
    </row>
    <row r="331" spans="1:4" ht="15">
      <c r="A331"/>
      <c/>
      <c/>
      <c/>
    </row>
    <row r="332" spans="1:4" ht="15">
      <c r="A332"/>
      <c/>
      <c/>
      <c/>
    </row>
    <row r="333" spans="1:4" ht="15">
      <c r="A333"/>
      <c/>
      <c/>
      <c/>
    </row>
    <row r="334" spans="1:4" ht="15">
      <c r="A334"/>
      <c/>
      <c/>
      <c/>
    </row>
    <row r="335" spans="1:4" ht="15">
      <c r="A335"/>
      <c/>
      <c/>
      <c/>
    </row>
    <row r="336" spans="1:4" ht="15">
      <c r="A336"/>
      <c/>
      <c/>
      <c/>
    </row>
    <row r="337" spans="1:4" ht="15">
      <c r="A337"/>
      <c/>
      <c/>
      <c/>
    </row>
    <row r="338" spans="1:4" ht="15">
      <c r="A338"/>
      <c/>
      <c/>
      <c/>
    </row>
    <row r="339" spans="1:4" ht="15">
      <c r="A339"/>
      <c/>
      <c/>
      <c/>
    </row>
    <row r="340" spans="1:4" ht="15">
      <c r="A340"/>
      <c/>
      <c/>
      <c/>
    </row>
    <row r="341" spans="1:4" ht="15">
      <c r="A341"/>
      <c/>
      <c/>
      <c/>
    </row>
    <row r="342" spans="1:4" ht="15">
      <c r="A342"/>
      <c/>
      <c/>
      <c/>
    </row>
    <row r="343" spans="1:4" ht="15">
      <c r="A343"/>
      <c/>
      <c/>
      <c/>
    </row>
    <row r="344" spans="1:4" ht="15">
      <c r="A344"/>
      <c/>
      <c/>
      <c/>
    </row>
    <row r="345" spans="1:4" ht="15">
      <c r="A345"/>
      <c/>
      <c/>
      <c/>
    </row>
    <row r="346" spans="1:4" ht="15">
      <c r="A346"/>
      <c/>
      <c/>
      <c/>
    </row>
    <row r="347" spans="1:4" ht="15">
      <c r="A347"/>
      <c/>
      <c/>
      <c/>
    </row>
    <row r="348" spans="1:4" ht="15">
      <c r="A348"/>
      <c/>
      <c/>
      <c/>
    </row>
    <row r="349" spans="1:4" ht="15">
      <c r="A349"/>
      <c/>
      <c/>
      <c/>
    </row>
    <row r="350" spans="1:4" ht="15">
      <c r="A350"/>
      <c/>
      <c/>
      <c/>
    </row>
    <row r="351" spans="1:4" ht="15">
      <c r="A351"/>
      <c/>
      <c/>
      <c/>
    </row>
    <row r="352" spans="1:4" ht="15">
      <c r="A352"/>
      <c/>
      <c/>
      <c/>
    </row>
    <row r="353" spans="1:4" ht="15">
      <c r="A353"/>
      <c/>
      <c/>
      <c/>
    </row>
    <row r="354" spans="1:4" ht="15">
      <c r="A354"/>
      <c/>
      <c/>
      <c/>
    </row>
    <row r="355" spans="1:4" ht="15">
      <c r="A355"/>
      <c/>
      <c/>
      <c/>
    </row>
    <row r="356" spans="1:4" ht="15">
      <c r="A356"/>
      <c/>
      <c/>
      <c/>
    </row>
    <row r="357" spans="1:4" ht="15">
      <c r="A357"/>
      <c/>
      <c/>
      <c/>
    </row>
    <row r="358" spans="1:4" ht="15">
      <c r="A358"/>
      <c/>
      <c/>
      <c/>
    </row>
    <row r="359" spans="1:4" ht="15">
      <c r="A359"/>
      <c/>
      <c/>
      <c/>
    </row>
    <row r="360" spans="1:4" ht="15">
      <c r="A360"/>
      <c/>
      <c/>
      <c/>
    </row>
    <row r="361" spans="1:4" ht="15">
      <c r="A361"/>
      <c/>
      <c/>
      <c/>
    </row>
    <row r="362" spans="1:4" ht="15">
      <c r="A362"/>
      <c/>
      <c/>
      <c/>
    </row>
    <row r="363" spans="1:4" ht="15">
      <c r="A363"/>
      <c/>
      <c/>
      <c/>
    </row>
    <row r="364" spans="1:4" ht="15">
      <c r="A364"/>
      <c/>
      <c/>
      <c/>
    </row>
    <row r="365" spans="1:4" ht="15">
      <c r="A365"/>
      <c/>
      <c/>
      <c/>
    </row>
    <row r="366" spans="1:4" ht="15">
      <c r="A366"/>
      <c/>
      <c/>
      <c/>
    </row>
    <row r="367" spans="1:4" ht="15">
      <c r="A367"/>
      <c/>
      <c/>
      <c/>
    </row>
    <row r="368" spans="1:4" ht="15">
      <c r="A368"/>
      <c/>
      <c/>
      <c/>
    </row>
    <row r="369" spans="1:4" ht="15">
      <c r="A369"/>
      <c/>
      <c/>
      <c/>
    </row>
    <row r="370" spans="1:4" ht="15">
      <c r="A370"/>
      <c/>
      <c/>
      <c/>
    </row>
    <row r="371" spans="1:4" ht="15">
      <c r="A371"/>
      <c/>
      <c/>
      <c/>
    </row>
    <row r="372" spans="1:4" ht="15">
      <c r="A372"/>
      <c/>
      <c/>
      <c/>
    </row>
    <row r="373" spans="1:4" ht="15">
      <c r="A373"/>
      <c/>
      <c/>
      <c/>
    </row>
    <row r="374" spans="1:4" ht="15">
      <c r="A374"/>
      <c/>
      <c/>
      <c/>
    </row>
    <row r="375" spans="1:4" ht="15">
      <c r="A375"/>
      <c/>
      <c/>
      <c/>
    </row>
    <row r="376" spans="1:4" ht="15">
      <c r="A376"/>
      <c/>
      <c/>
      <c/>
    </row>
    <row r="377" spans="1:4" ht="15">
      <c r="A377"/>
      <c/>
      <c/>
      <c/>
    </row>
    <row r="378" spans="1:4" ht="15">
      <c r="A378"/>
      <c/>
      <c/>
      <c/>
    </row>
    <row r="379" spans="1:4" ht="15">
      <c r="A379"/>
      <c/>
      <c/>
      <c/>
    </row>
    <row r="380" spans="1:4" ht="15">
      <c r="A380"/>
      <c/>
      <c/>
      <c/>
    </row>
    <row r="381" spans="1:4" ht="15">
      <c r="A381"/>
      <c/>
      <c/>
      <c/>
    </row>
    <row r="382" spans="1:4" ht="15">
      <c r="A382"/>
      <c/>
      <c/>
      <c/>
    </row>
    <row r="383" spans="1:4" ht="15">
      <c r="A383"/>
      <c/>
      <c/>
      <c/>
    </row>
    <row r="384" spans="1:4" ht="15">
      <c r="A384"/>
      <c/>
      <c/>
      <c/>
    </row>
    <row r="385" spans="1:4" ht="15">
      <c r="A385"/>
      <c/>
      <c/>
      <c/>
    </row>
    <row r="386" spans="1:4" ht="15">
      <c r="A386"/>
      <c/>
      <c/>
      <c/>
    </row>
    <row r="387" spans="1:4" ht="15">
      <c r="A387"/>
      <c/>
      <c/>
      <c/>
    </row>
    <row r="388" spans="1:4" ht="15">
      <c r="A388"/>
      <c/>
      <c/>
      <c/>
    </row>
    <row r="389" spans="1:4" ht="15">
      <c r="A389"/>
      <c/>
      <c/>
      <c/>
    </row>
    <row r="390" spans="1:4" ht="15">
      <c r="A390"/>
      <c/>
      <c/>
      <c/>
    </row>
    <row r="391" spans="1:4" ht="15">
      <c r="A391"/>
      <c/>
      <c/>
      <c/>
    </row>
    <row r="392" spans="1:4" ht="15">
      <c r="A392"/>
      <c/>
      <c/>
      <c/>
    </row>
    <row r="393" spans="1:4" ht="15">
      <c r="A393"/>
      <c/>
      <c/>
      <c/>
    </row>
    <row r="394" spans="1:4" ht="15">
      <c r="A394"/>
      <c/>
      <c/>
      <c/>
    </row>
    <row r="395" spans="1:4" ht="15">
      <c r="A395"/>
      <c/>
      <c/>
      <c/>
    </row>
    <row r="396" spans="1:4" ht="15">
      <c r="A396"/>
      <c/>
      <c/>
      <c/>
    </row>
    <row r="397" spans="1:4" ht="15">
      <c r="A397"/>
      <c/>
      <c/>
      <c/>
    </row>
    <row r="398" spans="1:4" ht="15">
      <c r="A398"/>
      <c/>
      <c/>
      <c/>
    </row>
    <row r="399" spans="1:4" ht="15">
      <c r="A399"/>
      <c/>
      <c/>
      <c/>
    </row>
    <row r="400" spans="1:4" ht="15">
      <c r="A400"/>
      <c/>
      <c/>
      <c/>
    </row>
    <row r="401" spans="1:4" ht="15">
      <c r="A401"/>
      <c/>
      <c/>
      <c/>
    </row>
    <row r="402" spans="1:4" ht="15">
      <c r="A402"/>
      <c/>
      <c/>
      <c/>
    </row>
    <row r="403" spans="1:4" ht="15">
      <c r="A403"/>
      <c/>
      <c/>
      <c/>
    </row>
    <row r="404" spans="1:4" ht="15">
      <c r="A404"/>
      <c/>
      <c/>
      <c/>
    </row>
    <row r="405" spans="1:4" ht="15">
      <c r="A405"/>
      <c/>
      <c/>
      <c/>
    </row>
    <row r="406" spans="1:4" ht="15">
      <c r="A406"/>
      <c/>
      <c/>
      <c/>
    </row>
    <row r="407" spans="1:4" ht="15">
      <c r="A407"/>
      <c/>
      <c/>
      <c/>
    </row>
    <row r="408" spans="1:4" ht="15">
      <c r="A408"/>
      <c/>
      <c/>
      <c/>
    </row>
    <row r="409" spans="1:4" ht="15">
      <c r="A409"/>
      <c/>
      <c/>
      <c/>
    </row>
    <row r="410" spans="1:4" ht="15">
      <c r="A410"/>
      <c/>
      <c/>
      <c/>
    </row>
    <row r="411" spans="1:4" ht="15">
      <c r="A411"/>
      <c/>
      <c/>
      <c/>
    </row>
    <row r="412" spans="1:4" ht="15">
      <c r="A412"/>
      <c/>
      <c/>
      <c/>
    </row>
    <row r="413" spans="1:4" ht="15">
      <c r="A413"/>
      <c/>
      <c/>
      <c/>
    </row>
    <row r="414" spans="1:30" ht="15">
      <c r="A414"/>
      <c/>
      <c/>
      <c/>
      <c r="V414"/>
      <c/>
      <c/>
      <c/>
      <c/>
      <c/>
      <c/>
      <c/>
      <c/>
    </row>
    <row r="415" spans="1:30" ht="15">
      <c r="A415"/>
      <c/>
      <c/>
      <c/>
      <c r="V415"/>
      <c/>
      <c/>
      <c/>
      <c/>
      <c/>
      <c/>
      <c/>
      <c/>
    </row>
    <row r="416" spans="1:30" ht="15">
      <c r="A416"/>
      <c/>
      <c/>
      <c/>
      <c r="V416"/>
      <c/>
      <c/>
      <c/>
      <c/>
      <c/>
      <c/>
      <c/>
      <c/>
    </row>
    <row r="417" spans="1:30" ht="15">
      <c r="A417"/>
      <c/>
      <c/>
      <c/>
      <c r="V417"/>
      <c/>
      <c/>
      <c/>
      <c/>
      <c/>
      <c/>
      <c/>
      <c/>
    </row>
    <row r="418" spans="1:30" ht="15">
      <c r="A418"/>
      <c/>
      <c/>
      <c/>
      <c r="V418"/>
      <c/>
      <c/>
      <c/>
      <c/>
      <c/>
      <c/>
      <c/>
      <c/>
    </row>
    <row r="419" spans="1:30" ht="15">
      <c r="A419"/>
      <c/>
      <c/>
      <c/>
      <c r="V419"/>
      <c/>
      <c/>
      <c/>
      <c/>
      <c/>
      <c/>
      <c/>
      <c/>
    </row>
    <row r="420" spans="1:30" ht="15">
      <c r="A420"/>
      <c/>
      <c/>
      <c/>
      <c r="V420"/>
      <c/>
      <c/>
      <c/>
      <c/>
      <c/>
      <c/>
      <c/>
      <c/>
    </row>
    <row r="421" spans="1:30" ht="15">
      <c r="A421"/>
      <c/>
      <c/>
      <c/>
      <c r="V421"/>
      <c/>
      <c/>
      <c/>
      <c/>
      <c/>
      <c/>
      <c/>
      <c/>
    </row>
    <row r="422" spans="1:30" ht="15">
      <c r="A422"/>
      <c/>
      <c/>
      <c/>
      <c r="V422"/>
      <c/>
      <c/>
      <c/>
      <c/>
      <c/>
      <c/>
      <c/>
      <c/>
    </row>
    <row r="423" spans="1:30" ht="15">
      <c r="A423"/>
      <c/>
      <c/>
      <c/>
      <c r="V423"/>
      <c/>
      <c/>
      <c/>
      <c/>
      <c/>
      <c/>
      <c/>
      <c/>
    </row>
    <row r="424" spans="1:30" ht="15">
      <c r="A424"/>
      <c/>
      <c/>
      <c/>
      <c r="V424"/>
      <c/>
      <c/>
      <c/>
      <c/>
      <c/>
      <c/>
      <c/>
      <c/>
    </row>
    <row r="425" spans="1:30" ht="15">
      <c r="A425"/>
      <c/>
      <c/>
      <c/>
      <c r="V425"/>
      <c/>
      <c/>
      <c/>
      <c/>
      <c/>
      <c/>
      <c/>
      <c/>
    </row>
    <row r="426" spans="1:30" ht="15">
      <c r="A426"/>
      <c/>
      <c/>
      <c/>
      <c r="V426"/>
      <c/>
      <c/>
      <c/>
      <c/>
      <c/>
      <c/>
      <c/>
      <c/>
    </row>
    <row r="427" spans="1:30" ht="15">
      <c r="A427"/>
      <c/>
      <c/>
      <c/>
      <c r="V427"/>
      <c/>
      <c/>
      <c/>
      <c/>
      <c/>
      <c/>
      <c/>
      <c/>
    </row>
    <row r="428" spans="1:30" ht="15">
      <c r="A428"/>
      <c/>
      <c/>
      <c/>
      <c r="V428"/>
      <c/>
      <c/>
      <c/>
      <c/>
      <c/>
      <c/>
      <c/>
      <c/>
    </row>
    <row r="429" spans="1:30" ht="15">
      <c r="A429"/>
      <c/>
      <c/>
      <c/>
      <c r="V429"/>
      <c/>
      <c/>
      <c/>
      <c/>
      <c/>
      <c/>
      <c/>
      <c/>
    </row>
    <row r="430" spans="1:30" ht="15">
      <c r="A430"/>
      <c/>
      <c/>
      <c/>
      <c r="V430"/>
      <c/>
      <c/>
      <c/>
      <c/>
      <c/>
      <c/>
      <c/>
      <c/>
    </row>
    <row r="431" spans="1:30" ht="15">
      <c r="A431"/>
      <c/>
      <c/>
      <c/>
      <c r="V431"/>
      <c/>
      <c/>
      <c/>
      <c/>
      <c/>
      <c/>
      <c/>
      <c/>
    </row>
    <row r="432" spans="1:30" ht="15">
      <c r="A432"/>
      <c/>
      <c/>
      <c/>
      <c r="V432"/>
      <c/>
      <c/>
      <c/>
      <c/>
      <c/>
      <c/>
      <c/>
      <c/>
    </row>
    <row r="433" spans="1:30" ht="15">
      <c r="A433"/>
      <c/>
      <c/>
      <c/>
      <c r="V433"/>
      <c/>
      <c/>
      <c/>
      <c/>
      <c/>
      <c/>
      <c/>
      <c/>
    </row>
    <row r="434" spans="1:30" ht="15">
      <c r="A434"/>
      <c/>
      <c/>
      <c/>
      <c r="V434"/>
      <c/>
      <c/>
      <c/>
      <c/>
      <c/>
      <c/>
      <c/>
      <c/>
    </row>
    <row r="435" spans="1:30" ht="15">
      <c r="A435"/>
      <c/>
      <c/>
      <c/>
      <c r="V435"/>
      <c/>
      <c/>
      <c/>
      <c/>
      <c/>
      <c/>
      <c/>
      <c/>
    </row>
    <row r="436" spans="1:30" ht="15">
      <c r="A436"/>
      <c/>
      <c/>
      <c/>
      <c r="V436"/>
      <c/>
      <c/>
      <c/>
      <c/>
      <c/>
      <c/>
      <c/>
      <c/>
    </row>
    <row r="437" spans="1:30" ht="15">
      <c r="A437"/>
      <c/>
      <c/>
      <c/>
      <c r="V437"/>
      <c/>
      <c/>
      <c/>
      <c/>
      <c/>
      <c/>
      <c/>
      <c/>
    </row>
    <row r="438" spans="1:30" ht="15">
      <c r="A438"/>
      <c/>
      <c/>
      <c/>
      <c r="V438"/>
      <c/>
      <c/>
      <c/>
      <c/>
      <c/>
      <c/>
      <c/>
      <c/>
    </row>
    <row r="439" spans="1:30" ht="15">
      <c r="A439"/>
      <c/>
      <c/>
      <c/>
      <c r="V439"/>
      <c/>
      <c/>
      <c/>
      <c/>
      <c/>
      <c/>
      <c/>
      <c/>
    </row>
    <row r="440" spans="1:30" ht="15">
      <c r="A440"/>
      <c/>
      <c/>
      <c/>
      <c r="V440"/>
      <c/>
      <c/>
      <c/>
      <c/>
      <c/>
      <c/>
      <c/>
      <c/>
    </row>
    <row r="441" spans="1:4" ht="15">
      <c r="A441"/>
      <c/>
      <c/>
      <c/>
    </row>
    <row r="442" spans="1:4" ht="15">
      <c r="A442"/>
      <c/>
      <c/>
      <c/>
    </row>
    <row r="443" spans="1:4" ht="15">
      <c r="A443"/>
      <c/>
      <c/>
      <c/>
    </row>
    <row r="444" spans="1:4" ht="15">
      <c r="A444"/>
      <c/>
      <c/>
      <c/>
    </row>
    <row r="445" spans="1:4" ht="15">
      <c r="A445"/>
      <c/>
      <c/>
      <c/>
    </row>
    <row r="446" spans="1:4" ht="15">
      <c r="A446"/>
      <c/>
      <c/>
      <c/>
    </row>
    <row r="447" spans="1:4" ht="15">
      <c r="A447"/>
      <c/>
      <c/>
      <c/>
    </row>
    <row r="448" spans="1:4" ht="15">
      <c r="A448"/>
      <c/>
      <c/>
      <c/>
    </row>
    <row r="449" spans="1:4" ht="15">
      <c r="A449"/>
      <c/>
      <c/>
      <c/>
    </row>
    <row r="450" spans="1:4" ht="15">
      <c r="A450"/>
      <c/>
      <c/>
      <c/>
    </row>
    <row r="451" spans="1:4" ht="15">
      <c r="A451"/>
      <c/>
      <c/>
      <c/>
    </row>
    <row r="452" spans="1:4" ht="15">
      <c r="A452"/>
      <c/>
      <c/>
      <c/>
    </row>
    <row r="453" spans="1:4" ht="15">
      <c r="A453"/>
      <c/>
      <c/>
      <c/>
    </row>
    <row r="454" spans="1:4" ht="15">
      <c r="A454"/>
      <c/>
      <c/>
      <c/>
    </row>
    <row r="455" spans="1:4" ht="15">
      <c r="A455"/>
      <c/>
      <c/>
      <c/>
    </row>
    <row r="456" spans="1:4" ht="15">
      <c r="A456"/>
      <c/>
      <c/>
      <c/>
    </row>
    <row r="457" spans="1:4" ht="15">
      <c r="A457"/>
      <c/>
      <c/>
      <c/>
    </row>
    <row r="458" spans="1:4" ht="15">
      <c r="A458"/>
      <c/>
      <c/>
      <c/>
    </row>
    <row r="459" spans="1:4" ht="15">
      <c r="A459"/>
      <c/>
      <c/>
      <c/>
    </row>
    <row r="460" spans="1:4" ht="15">
      <c r="A460"/>
      <c/>
      <c/>
      <c/>
    </row>
    <row r="461" spans="1:4" ht="15">
      <c r="A461"/>
      <c/>
      <c/>
      <c/>
    </row>
    <row r="462" spans="1:4" ht="15">
      <c r="A462"/>
      <c/>
      <c/>
      <c/>
    </row>
    <row r="463" spans="1:4" ht="15">
      <c r="A463"/>
      <c/>
      <c/>
      <c/>
    </row>
    <row r="464" spans="1:4" ht="15">
      <c r="A464"/>
      <c/>
      <c/>
      <c/>
    </row>
    <row r="465" spans="1:4" ht="15">
      <c r="A465"/>
      <c/>
      <c/>
      <c/>
    </row>
    <row r="466" spans="1:4" ht="15">
      <c r="A466"/>
      <c/>
      <c/>
      <c/>
    </row>
    <row r="467" spans="1:4" ht="15">
      <c r="A467"/>
      <c/>
      <c/>
      <c/>
    </row>
    <row r="468" spans="1:4" ht="15">
      <c r="A468"/>
      <c/>
      <c/>
      <c/>
    </row>
    <row r="469" spans="1:4" ht="15">
      <c r="A469"/>
      <c/>
      <c/>
      <c/>
    </row>
    <row r="470" spans="1:4" ht="15">
      <c r="A470"/>
      <c/>
      <c/>
      <c/>
    </row>
    <row r="471" spans="1:4" ht="15">
      <c r="A471"/>
      <c/>
      <c/>
      <c/>
    </row>
    <row r="472" spans="1:4" ht="15">
      <c r="A472"/>
      <c/>
      <c/>
      <c/>
    </row>
    <row r="473" spans="1:4" ht="15">
      <c r="A473"/>
      <c/>
      <c/>
      <c/>
    </row>
    <row r="474" spans="1:4" ht="15">
      <c r="A474"/>
      <c/>
      <c/>
      <c/>
    </row>
    <row r="475" spans="1:4" ht="15">
      <c r="A475"/>
      <c/>
      <c/>
      <c/>
    </row>
    <row r="476" spans="1:4" ht="15">
      <c r="A476"/>
      <c/>
      <c/>
      <c/>
    </row>
    <row r="477" spans="1:4" ht="15">
      <c r="A477"/>
      <c/>
      <c/>
      <c/>
    </row>
    <row r="478" spans="1:4" ht="15">
      <c r="A478"/>
      <c/>
      <c/>
      <c/>
    </row>
    <row r="479" spans="1:4" ht="15">
      <c r="A479"/>
      <c/>
      <c/>
      <c/>
    </row>
    <row r="480" spans="1:4" ht="15">
      <c r="A480"/>
      <c/>
      <c/>
      <c/>
    </row>
    <row r="481" spans="1:4" ht="15">
      <c r="A481"/>
      <c/>
      <c/>
      <c/>
    </row>
    <row r="482" spans="1:4" ht="15">
      <c r="A482"/>
      <c/>
      <c/>
      <c/>
    </row>
    <row r="483" spans="1:4" ht="15">
      <c r="A483"/>
      <c/>
      <c/>
      <c/>
    </row>
    <row r="484" spans="1:4" ht="15">
      <c r="A484"/>
      <c/>
      <c/>
      <c/>
    </row>
    <row r="485" spans="1:4" ht="15">
      <c r="A485"/>
      <c/>
      <c/>
      <c/>
    </row>
    <row r="486" spans="1:4" ht="15">
      <c r="A486"/>
      <c/>
      <c/>
      <c/>
    </row>
    <row r="487" spans="1:4" ht="15">
      <c r="A487"/>
      <c/>
      <c/>
      <c/>
    </row>
    <row r="488" spans="1:4" ht="15">
      <c r="A488"/>
      <c/>
      <c/>
      <c/>
    </row>
    <row r="489" spans="1:4" ht="15">
      <c r="A489"/>
      <c/>
      <c/>
      <c/>
    </row>
    <row r="490" spans="1:4" ht="15">
      <c r="A490"/>
      <c/>
      <c/>
      <c/>
    </row>
    <row r="491" spans="1:4" ht="15">
      <c r="A491"/>
      <c/>
      <c/>
      <c/>
    </row>
    <row r="492" spans="1:4" ht="15">
      <c r="A492"/>
      <c/>
      <c/>
      <c/>
    </row>
    <row r="493" spans="1:4" ht="15">
      <c r="A493"/>
      <c/>
      <c/>
      <c/>
    </row>
    <row r="494" spans="1:4" ht="15">
      <c r="A494"/>
      <c/>
      <c/>
      <c/>
    </row>
    <row r="495" spans="1:4" ht="15">
      <c r="A495"/>
      <c/>
      <c/>
      <c/>
    </row>
    <row r="496" spans="1:4" ht="15">
      <c r="A496"/>
      <c/>
      <c/>
      <c/>
    </row>
    <row r="497" spans="1:4" ht="15">
      <c r="A497"/>
      <c/>
      <c/>
      <c/>
    </row>
    <row r="498" spans="1:4" ht="15">
      <c r="A498"/>
      <c/>
      <c/>
      <c/>
    </row>
    <row r="499" spans="1:4" ht="15">
      <c r="A499"/>
      <c/>
      <c/>
      <c/>
    </row>
    <row r="500" spans="1:4" ht="15">
      <c r="A500"/>
      <c/>
      <c/>
      <c/>
    </row>
    <row r="501" spans="1:4" ht="15">
      <c r="A501"/>
      <c/>
      <c/>
      <c/>
    </row>
    <row r="502" spans="1:4" ht="15">
      <c r="A502"/>
      <c/>
      <c/>
      <c/>
    </row>
    <row r="503" spans="1:4" ht="15">
      <c r="A503"/>
      <c/>
      <c/>
      <c/>
    </row>
    <row r="504" spans="1:4" ht="15">
      <c r="A504"/>
      <c/>
      <c/>
      <c/>
    </row>
    <row r="505" spans="1:4" ht="15">
      <c r="A505"/>
      <c/>
      <c/>
      <c/>
    </row>
    <row r="506" spans="1:4" ht="15">
      <c r="A506"/>
      <c/>
      <c/>
      <c/>
    </row>
    <row r="507" spans="1:4" ht="15">
      <c r="A507"/>
      <c/>
      <c/>
      <c/>
    </row>
    <row r="508" spans="1:4" ht="15">
      <c r="A508"/>
      <c/>
      <c/>
      <c/>
    </row>
    <row r="509" spans="1:4" ht="15">
      <c r="A509"/>
      <c/>
      <c/>
      <c/>
    </row>
    <row r="510" spans="1:4" ht="15">
      <c r="A510"/>
      <c/>
      <c/>
      <c/>
    </row>
    <row r="511" spans="1:4" ht="15">
      <c r="A511"/>
      <c/>
      <c/>
      <c/>
    </row>
    <row r="512" spans="1:4" ht="15">
      <c r="A512"/>
      <c/>
      <c/>
      <c/>
    </row>
    <row r="513" spans="1:4" ht="15">
      <c r="A513"/>
      <c/>
      <c/>
      <c/>
    </row>
    <row r="514" spans="1:4" ht="15">
      <c r="A514"/>
      <c/>
      <c/>
      <c/>
    </row>
    <row r="515" spans="1:4" ht="15">
      <c r="A515"/>
      <c/>
      <c/>
      <c/>
    </row>
    <row r="516" spans="1:4" ht="15">
      <c r="A516"/>
      <c/>
      <c/>
      <c/>
    </row>
    <row r="517" spans="1:4" ht="15">
      <c r="A517"/>
      <c/>
      <c/>
      <c/>
    </row>
    <row r="518" spans="1:4" ht="15">
      <c r="A518"/>
      <c/>
      <c/>
      <c/>
    </row>
    <row r="519" spans="1:4" ht="15">
      <c r="A519"/>
      <c/>
      <c/>
      <c/>
    </row>
    <row r="520" spans="1:4" ht="15">
      <c r="A520"/>
      <c/>
      <c/>
      <c/>
    </row>
    <row r="521" spans="1:4" ht="15">
      <c r="A521"/>
      <c/>
      <c/>
      <c/>
    </row>
    <row r="522" spans="1:4" ht="15">
      <c r="A522"/>
      <c/>
      <c/>
      <c/>
    </row>
    <row r="523" spans="1:4" ht="15">
      <c r="A523"/>
      <c/>
      <c/>
      <c/>
    </row>
    <row r="524" spans="1:4" ht="15">
      <c r="A524"/>
      <c/>
      <c/>
      <c/>
    </row>
    <row r="525" spans="1:4" ht="15">
      <c r="A525"/>
      <c/>
      <c/>
      <c/>
    </row>
    <row r="526" spans="1:4" ht="15">
      <c r="A526"/>
      <c/>
      <c/>
      <c/>
    </row>
    <row r="527" spans="1:4" ht="15">
      <c r="A527"/>
      <c/>
      <c/>
      <c/>
    </row>
    <row r="528" spans="1:4" ht="15">
      <c r="A528"/>
      <c/>
      <c/>
      <c/>
    </row>
    <row r="529" spans="1:4" ht="15">
      <c r="A529"/>
      <c/>
      <c/>
      <c/>
    </row>
    <row r="530" spans="1:4" ht="15">
      <c r="A530"/>
      <c/>
      <c/>
      <c/>
    </row>
    <row r="531" spans="1:4" ht="15">
      <c r="A531"/>
      <c/>
      <c/>
      <c/>
    </row>
    <row r="532" spans="1:4" ht="15">
      <c r="A532"/>
      <c/>
      <c/>
      <c/>
    </row>
    <row r="533" spans="1:4" ht="15">
      <c r="A533"/>
      <c/>
      <c/>
      <c/>
    </row>
    <row r="534" spans="1:4" ht="15">
      <c r="A534"/>
      <c/>
      <c/>
      <c/>
    </row>
    <row r="535" spans="1:4" ht="15">
      <c r="A535"/>
      <c/>
      <c/>
      <c/>
    </row>
    <row r="536" spans="1:4" ht="15">
      <c r="A536"/>
      <c/>
      <c/>
      <c/>
    </row>
    <row r="537" spans="1:4" ht="15">
      <c r="A537"/>
      <c/>
      <c/>
      <c/>
    </row>
    <row r="538" spans="1:4" ht="15">
      <c r="A538"/>
      <c/>
      <c/>
      <c/>
    </row>
    <row r="539" spans="1:4" ht="15">
      <c r="A539"/>
      <c/>
      <c/>
      <c/>
    </row>
    <row r="540" spans="1:4" ht="15">
      <c r="A540"/>
      <c/>
      <c/>
      <c/>
    </row>
    <row r="541" spans="1:4" ht="15">
      <c r="A541"/>
      <c/>
      <c/>
      <c/>
    </row>
    <row r="542" spans="1:4" ht="15">
      <c r="A542"/>
      <c/>
      <c/>
      <c/>
    </row>
    <row r="543" spans="1:4" ht="15">
      <c r="A543"/>
      <c/>
      <c/>
      <c/>
    </row>
    <row r="544" spans="1:4" ht="15">
      <c r="A544"/>
      <c/>
      <c/>
      <c/>
    </row>
    <row r="545" spans="1:4" ht="15">
      <c r="A545"/>
      <c/>
      <c/>
      <c/>
    </row>
    <row r="546" spans="1:4" ht="15">
      <c r="A546"/>
      <c/>
      <c/>
      <c/>
    </row>
    <row r="547" spans="1:4" ht="15">
      <c r="A547"/>
      <c/>
      <c/>
      <c/>
    </row>
    <row r="548" spans="1:4" ht="15">
      <c r="A548"/>
      <c/>
      <c/>
      <c/>
    </row>
    <row r="549" spans="1:4" ht="15">
      <c r="A549"/>
      <c/>
      <c/>
      <c/>
    </row>
    <row r="550" spans="1:4" ht="15">
      <c r="A550"/>
      <c/>
      <c/>
      <c/>
    </row>
    <row r="551" spans="1:4" ht="15">
      <c r="A551"/>
      <c/>
      <c/>
      <c/>
    </row>
    <row r="552" spans="1:4" ht="15">
      <c r="A552"/>
      <c/>
      <c/>
      <c/>
    </row>
    <row r="553" spans="1:24" ht="15">
      <c r="A553"/>
      <c/>
      <c/>
      <c/>
      <c r="V553"/>
      <c/>
      <c/>
    </row>
    <row r="554" spans="1:24" ht="15">
      <c r="A554"/>
      <c/>
      <c/>
      <c/>
      <c r="V554"/>
      <c/>
      <c/>
    </row>
    <row r="555" spans="1:24" ht="15">
      <c r="A555"/>
      <c/>
      <c/>
      <c/>
      <c r="V555"/>
      <c/>
      <c/>
    </row>
    <row r="556" spans="1:24" ht="15">
      <c r="A556"/>
      <c/>
      <c/>
      <c/>
      <c r="V556"/>
      <c/>
      <c/>
    </row>
    <row r="557" spans="1:24" ht="15">
      <c r="A557"/>
      <c/>
      <c/>
      <c/>
      <c r="V557"/>
      <c/>
      <c/>
    </row>
    <row r="558" spans="1:24" ht="15">
      <c r="A558"/>
      <c/>
      <c/>
      <c/>
      <c r="V558"/>
      <c/>
      <c/>
    </row>
    <row r="559" spans="1:24" ht="15">
      <c r="A559"/>
      <c/>
      <c/>
      <c/>
      <c r="V559"/>
      <c/>
      <c/>
    </row>
    <row r="560" spans="1:24" ht="15">
      <c r="A560"/>
      <c/>
      <c/>
      <c/>
      <c r="V560"/>
      <c/>
      <c/>
    </row>
    <row r="561" spans="1:24" ht="15">
      <c r="A561"/>
      <c/>
      <c/>
      <c/>
      <c r="V561"/>
      <c/>
      <c/>
    </row>
    <row r="562" spans="1:24" ht="15">
      <c r="A562"/>
      <c/>
      <c/>
      <c/>
      <c r="V562"/>
      <c/>
      <c/>
    </row>
    <row r="563" spans="1:4" ht="15">
      <c r="A563"/>
      <c/>
      <c/>
      <c/>
    </row>
    <row r="564" spans="1:4" ht="15">
      <c r="A564"/>
      <c/>
      <c/>
      <c/>
    </row>
    <row r="565" spans="1:4" ht="15">
      <c r="A565"/>
      <c/>
      <c/>
      <c/>
    </row>
    <row r="566" spans="1:4" ht="15">
      <c r="A566"/>
      <c/>
      <c/>
      <c/>
    </row>
    <row r="567" spans="1:4" ht="15">
      <c r="A567"/>
      <c/>
      <c/>
      <c/>
    </row>
    <row r="568" spans="1:4" ht="15">
      <c r="A568"/>
      <c/>
      <c/>
      <c/>
    </row>
    <row r="569" spans="1:4" ht="15">
      <c r="A569"/>
      <c/>
      <c/>
      <c/>
    </row>
    <row r="570" spans="1:4" ht="15">
      <c r="A570"/>
      <c/>
      <c/>
      <c/>
    </row>
    <row r="571" spans="1:4" ht="15">
      <c r="A571"/>
      <c/>
      <c/>
      <c/>
    </row>
    <row r="572" spans="1:4" ht="15">
      <c r="A572"/>
      <c/>
      <c/>
      <c/>
    </row>
    <row r="573" spans="1:4" ht="15">
      <c r="A573"/>
      <c/>
      <c/>
      <c/>
    </row>
    <row r="574" spans="1:4" ht="15">
      <c r="A574"/>
      <c/>
      <c/>
      <c/>
    </row>
    <row r="575" spans="1:4" ht="15">
      <c r="A575"/>
      <c/>
      <c/>
      <c/>
    </row>
    <row r="576" spans="1:4" ht="15">
      <c r="A576"/>
      <c/>
      <c/>
      <c/>
    </row>
    <row r="577" spans="1:4" ht="15">
      <c r="A577"/>
      <c/>
      <c/>
      <c/>
    </row>
    <row r="578" spans="1:4" ht="15">
      <c r="A578"/>
      <c/>
      <c/>
      <c/>
    </row>
    <row r="579" spans="1:4" ht="15">
      <c r="A579"/>
      <c/>
      <c/>
      <c/>
    </row>
    <row r="580" spans="1:4" ht="15">
      <c r="A580"/>
      <c/>
      <c/>
      <c/>
    </row>
    <row r="581" spans="1:4" ht="15">
      <c r="A581"/>
      <c/>
      <c/>
      <c/>
    </row>
    <row r="582" spans="1:4" ht="15">
      <c r="A582"/>
      <c/>
      <c/>
      <c/>
    </row>
    <row r="583" spans="1:4" ht="15">
      <c r="A583"/>
      <c/>
      <c/>
      <c/>
    </row>
    <row r="584" spans="1:4" ht="15">
      <c r="A584"/>
      <c/>
      <c/>
      <c/>
    </row>
    <row r="585" spans="1:4" ht="15">
      <c r="A585"/>
      <c/>
      <c/>
      <c/>
    </row>
    <row r="586" spans="1:4" ht="15">
      <c r="A586"/>
      <c/>
      <c/>
      <c/>
    </row>
    <row r="587" spans="1:4" ht="15">
      <c r="A587"/>
      <c/>
      <c/>
      <c/>
    </row>
    <row r="588" spans="1:4" ht="15">
      <c r="A588"/>
      <c/>
      <c/>
      <c/>
    </row>
    <row r="589" spans="1:4" ht="15">
      <c r="A589"/>
      <c/>
      <c/>
      <c/>
    </row>
    <row r="590" spans="1:4" ht="15">
      <c r="A590"/>
      <c/>
      <c/>
      <c/>
    </row>
    <row r="591" spans="1:4" ht="15">
      <c r="A591"/>
      <c/>
      <c/>
      <c/>
    </row>
    <row r="592" spans="1:4" ht="15">
      <c r="A592"/>
      <c/>
      <c/>
      <c/>
    </row>
    <row r="593" spans="1:4" ht="15">
      <c r="A593"/>
      <c/>
      <c/>
      <c/>
    </row>
    <row r="594" spans="1:4" ht="15">
      <c r="A594"/>
      <c/>
      <c/>
      <c/>
    </row>
    <row r="595" spans="1:4" ht="15">
      <c r="A595"/>
      <c/>
      <c/>
      <c/>
    </row>
    <row r="596" spans="1:4" ht="15">
      <c r="A596"/>
      <c/>
      <c/>
      <c/>
    </row>
    <row r="597" spans="1:4" ht="15">
      <c r="A597"/>
      <c/>
      <c/>
      <c/>
    </row>
    <row r="598" spans="1:4" ht="15">
      <c r="A598"/>
      <c/>
      <c/>
      <c/>
    </row>
    <row r="599" spans="1:4" ht="15">
      <c r="A599"/>
      <c/>
      <c/>
      <c/>
    </row>
    <row r="600" spans="1:4" ht="15">
      <c r="A600"/>
      <c/>
      <c/>
      <c/>
    </row>
    <row r="601" spans="1:4" ht="15">
      <c r="A601"/>
      <c/>
      <c/>
      <c/>
    </row>
    <row r="602" spans="1:4" ht="15">
      <c r="A602"/>
      <c/>
      <c/>
      <c/>
    </row>
    <row r="603" spans="1:4" ht="15">
      <c r="A603"/>
      <c/>
      <c/>
      <c/>
    </row>
    <row r="604" spans="1:4" ht="15">
      <c r="A604"/>
      <c/>
      <c/>
      <c/>
    </row>
    <row r="605" spans="1:4" ht="15">
      <c r="A605"/>
      <c/>
      <c/>
      <c/>
    </row>
    <row r="606" spans="1:4" ht="15">
      <c r="A606"/>
      <c/>
      <c/>
      <c/>
    </row>
    <row r="607" spans="1:4" ht="15">
      <c r="A607"/>
      <c/>
      <c/>
      <c/>
    </row>
    <row r="608" spans="1:4" ht="15">
      <c r="A608"/>
      <c/>
      <c/>
      <c/>
    </row>
    <row r="609" spans="1:4" ht="15">
      <c r="A609"/>
      <c/>
      <c/>
      <c/>
    </row>
    <row r="610" spans="1:4" ht="15">
      <c r="A610"/>
      <c/>
      <c/>
      <c/>
    </row>
    <row r="611" spans="1:4" ht="15">
      <c r="A611"/>
      <c/>
      <c/>
      <c/>
    </row>
    <row r="612" spans="1:4" ht="15">
      <c r="A612"/>
      <c/>
      <c/>
      <c/>
    </row>
    <row r="613" spans="1:4" ht="15">
      <c r="A613"/>
      <c/>
      <c/>
      <c/>
    </row>
    <row r="614" spans="1:4" ht="15">
      <c r="A614"/>
      <c/>
      <c/>
      <c/>
    </row>
    <row r="615" spans="1:4" ht="15">
      <c r="A615"/>
      <c/>
      <c/>
      <c/>
    </row>
    <row r="616" spans="1:4" ht="15">
      <c r="A616"/>
      <c/>
      <c/>
      <c/>
    </row>
    <row r="617" spans="1:4" ht="15">
      <c r="A617"/>
      <c/>
      <c/>
      <c/>
    </row>
    <row r="618" spans="1:4" ht="15">
      <c r="A618"/>
      <c/>
      <c/>
      <c/>
    </row>
    <row r="619" spans="1:4" ht="15">
      <c r="A619"/>
      <c/>
      <c/>
      <c/>
    </row>
    <row r="620" spans="1:4" ht="15">
      <c r="A620"/>
      <c/>
      <c/>
      <c/>
    </row>
    <row r="621" spans="1:4" ht="15">
      <c r="A621"/>
      <c/>
      <c/>
      <c/>
    </row>
    <row r="622" spans="1:4" ht="15">
      <c r="A622"/>
      <c/>
      <c/>
      <c/>
    </row>
    <row r="623" spans="1:4" ht="15">
      <c r="A623"/>
      <c/>
      <c/>
      <c/>
    </row>
    <row r="624" spans="1:4" ht="15">
      <c r="A624"/>
      <c/>
      <c/>
      <c/>
    </row>
    <row r="625" spans="1:4" ht="15">
      <c r="A625"/>
      <c/>
      <c/>
      <c/>
    </row>
    <row r="626" spans="1:4" ht="15">
      <c r="A626"/>
      <c/>
      <c/>
      <c/>
    </row>
    <row r="627" spans="1:4" ht="15">
      <c r="A627"/>
      <c/>
      <c/>
      <c/>
    </row>
    <row r="628" spans="1:4" ht="15">
      <c r="A628"/>
      <c/>
      <c/>
      <c/>
    </row>
    <row r="629" spans="1:4" ht="15">
      <c r="A629"/>
      <c/>
      <c/>
      <c/>
    </row>
    <row r="630" spans="1:4" ht="15">
      <c r="A630"/>
      <c/>
      <c/>
      <c/>
    </row>
    <row r="631" spans="1:4" ht="15">
      <c r="A631"/>
      <c/>
      <c/>
      <c/>
    </row>
    <row r="632" spans="1:4" ht="15">
      <c r="A632"/>
      <c/>
      <c/>
      <c/>
    </row>
    <row r="633" spans="1:4" ht="15">
      <c r="A633"/>
      <c/>
      <c/>
      <c/>
    </row>
    <row r="634" spans="1:4" ht="15">
      <c r="A634"/>
      <c/>
      <c/>
      <c/>
    </row>
    <row r="635" spans="1:4" ht="15">
      <c r="A635"/>
      <c/>
      <c/>
      <c/>
    </row>
    <row r="636" spans="1:4" ht="15">
      <c r="A636"/>
      <c/>
      <c/>
      <c/>
    </row>
    <row r="637" spans="1:4" ht="15">
      <c r="A637"/>
      <c/>
      <c/>
      <c/>
    </row>
    <row r="638" spans="1:4" ht="15">
      <c r="A638"/>
      <c/>
      <c/>
      <c/>
    </row>
    <row r="639" spans="1:4" ht="15">
      <c r="A639"/>
      <c/>
      <c/>
      <c/>
    </row>
    <row r="640" spans="1:4" ht="15">
      <c r="A640"/>
      <c/>
      <c/>
      <c/>
    </row>
    <row r="641" spans="1:4" ht="15">
      <c r="A641"/>
      <c/>
      <c/>
      <c/>
    </row>
    <row r="642" spans="1:4" ht="15">
      <c r="A642"/>
      <c/>
      <c/>
      <c/>
    </row>
    <row r="643" spans="1:4" ht="15">
      <c r="A643"/>
      <c/>
      <c/>
      <c/>
    </row>
    <row r="644" spans="1:4" ht="15">
      <c r="A644"/>
      <c/>
      <c/>
      <c/>
    </row>
    <row r="645" spans="1:4" s="112" customFormat="1" ht="15">
      <c r="A645"/>
      <c/>
      <c/>
      <c/>
    </row>
    <row r="646" spans="1:4" s="112" customFormat="1" ht="15">
      <c r="A646"/>
      <c/>
      <c/>
      <c/>
    </row>
    <row r="647" spans="1:4" s="112" customFormat="1" ht="15">
      <c r="A647"/>
      <c/>
      <c/>
      <c/>
    </row>
    <row r="648" spans="1:4" s="112" customFormat="1" ht="15">
      <c r="A648"/>
      <c/>
      <c/>
      <c/>
    </row>
    <row r="649" spans="1:4" s="112" customFormat="1" ht="15">
      <c r="A649"/>
      <c/>
      <c/>
      <c/>
    </row>
    <row r="650" spans="1:4" s="112" customFormat="1" ht="15">
      <c r="A650"/>
      <c/>
      <c/>
      <c/>
    </row>
    <row r="651" spans="1:4" ht="15">
      <c r="A651"/>
      <c/>
      <c/>
      <c/>
    </row>
    <row r="652" spans="1:4" ht="15">
      <c r="A652"/>
      <c/>
      <c/>
      <c/>
    </row>
    <row r="653" spans="1:4" ht="15">
      <c r="A653"/>
      <c/>
      <c/>
      <c/>
    </row>
    <row r="654" spans="1:4" ht="15">
      <c r="A654"/>
      <c/>
      <c/>
      <c/>
    </row>
    <row r="655" spans="1:4" ht="15">
      <c r="A655"/>
      <c/>
      <c/>
      <c/>
    </row>
    <row r="656" spans="1:4" ht="15">
      <c r="A656"/>
      <c/>
      <c/>
      <c/>
    </row>
    <row r="657" spans="1:4" ht="15">
      <c r="A657"/>
      <c/>
      <c/>
      <c/>
    </row>
    <row r="658" spans="1:4" ht="15">
      <c r="A658"/>
      <c/>
      <c/>
      <c/>
    </row>
    <row r="659" spans="1:4" ht="15">
      <c r="A659"/>
      <c/>
      <c/>
      <c/>
    </row>
    <row r="660" spans="1:4" ht="15">
      <c r="A660"/>
      <c/>
      <c/>
      <c/>
    </row>
    <row r="661" spans="1:4" ht="15">
      <c r="A661"/>
      <c/>
      <c/>
      <c/>
    </row>
    <row r="662" spans="1:4" ht="15">
      <c r="A662"/>
      <c/>
      <c/>
      <c/>
    </row>
    <row r="663" spans="1:4" ht="15">
      <c r="A663"/>
      <c/>
      <c/>
      <c/>
    </row>
    <row r="664" spans="1:4" ht="15">
      <c r="A664"/>
      <c/>
      <c/>
      <c/>
    </row>
    <row r="665" spans="1:4" ht="15">
      <c r="A665"/>
      <c/>
      <c/>
      <c/>
    </row>
    <row r="666" spans="1:4" ht="15">
      <c r="A666"/>
      <c/>
      <c/>
      <c/>
    </row>
    <row r="667" spans="1:4" ht="15">
      <c r="A667"/>
      <c/>
      <c/>
      <c/>
    </row>
    <row r="668" spans="1:4" ht="15">
      <c r="A668"/>
      <c/>
      <c/>
      <c/>
    </row>
    <row r="669" spans="1:4" ht="15">
      <c r="A669"/>
      <c/>
      <c/>
      <c/>
    </row>
    <row r="670" spans="1:4" ht="15">
      <c r="A670"/>
      <c/>
      <c/>
      <c/>
    </row>
    <row r="671" spans="1:4" ht="15">
      <c r="A671"/>
      <c/>
      <c/>
      <c/>
    </row>
    <row r="672" spans="1:4" ht="15">
      <c r="A672"/>
      <c/>
      <c/>
      <c/>
    </row>
    <row r="673" spans="1:4" ht="15">
      <c r="A673"/>
      <c/>
      <c/>
      <c/>
    </row>
    <row r="674" spans="1:4" ht="15">
      <c r="A674"/>
      <c/>
      <c/>
      <c/>
    </row>
    <row r="675" spans="1:4" ht="15">
      <c r="A675"/>
      <c/>
      <c/>
      <c/>
    </row>
    <row r="676" spans="1:4" ht="15">
      <c r="A676"/>
      <c/>
      <c/>
      <c/>
    </row>
    <row r="677" spans="1:4" ht="15">
      <c r="A677"/>
      <c/>
      <c/>
      <c/>
    </row>
    <row r="678" spans="1:4" ht="15">
      <c r="A678"/>
      <c/>
      <c/>
      <c/>
    </row>
    <row r="679" spans="1:4" ht="15">
      <c r="A679"/>
      <c/>
      <c/>
      <c/>
    </row>
    <row r="680" spans="1:4" ht="15">
      <c r="A680"/>
      <c/>
      <c/>
      <c/>
    </row>
    <row r="681" spans="1:4" ht="15">
      <c r="A681"/>
      <c/>
      <c/>
      <c/>
    </row>
    <row r="682" spans="1:4" ht="15">
      <c r="A682"/>
      <c/>
      <c/>
      <c/>
    </row>
    <row r="683" spans="1:4" ht="15">
      <c r="A683"/>
      <c/>
      <c/>
      <c/>
    </row>
    <row r="684" spans="1:4" ht="15">
      <c r="A684"/>
      <c/>
      <c/>
      <c/>
    </row>
    <row r="685" spans="1:4" ht="15">
      <c r="A685"/>
      <c/>
      <c/>
      <c/>
    </row>
    <row r="686" spans="1:4" ht="15">
      <c r="A686"/>
      <c/>
      <c/>
      <c/>
    </row>
    <row r="687" spans="1:4" ht="15">
      <c r="A687"/>
      <c/>
      <c/>
      <c/>
    </row>
    <row r="688" spans="1:4" ht="15">
      <c r="A688"/>
      <c/>
      <c/>
      <c/>
    </row>
  </sheetData>
  <mergeCells count="102">
    <mergeCell ref="EI109:EJ109"/>
    <mergeCell ref="AL2:AL4"/>
    <mergeCell ref="R20:W21"/>
    <mergeCell ref="P12:U13"/>
    <mergeCell ref="AB12:AG13"/>
    <mergeCell ref="X33:Z33"/>
    <mergeCell ref="U42:V44"/>
    <mergeCell ref="Q42:R44"/>
    <mergeCell ref="D25:R25"/>
    <mergeCell ref="T25:AH25"/>
    <mergeCell ref="E28:J28"/>
    <mergeCell ref="L28:Q28"/>
    <mergeCell ref="V29:AA29"/>
    <mergeCell ref="AB28:AG29"/>
    <mergeCell ref="D19:I20"/>
    <mergeCell ref="D21:I21"/>
    <mergeCell ref="AB33:AD33"/>
    <mergeCell ref="AF33:AH33"/>
    <mergeCell ref="D33:F33"/>
    <mergeCell ref="H33:J33"/>
    <mergeCell ref="L33:N33"/>
    <mergeCell ref="P33:R33"/>
    <mergeCell ref="T33:V33"/>
    <mergeCell ref="J20:O21"/>
    <mergeCell ref="AF34:AH34"/>
    <mergeCell ref="V28:AA28"/>
    <mergeCell ref="T34:V34"/>
    <mergeCell ref="X34:Z34"/>
    <mergeCell ref="AB34:AD34"/>
    <mergeCell ref="E29:J29"/>
    <mergeCell ref="L29:Q29"/>
    <mergeCell ref="T1:Y1"/>
    <mergeCell ref="T2:Y2"/>
    <mergeCell ref="AA1:AJ1"/>
    <mergeCell ref="AA2:AJ2"/>
    <mergeCell ref="P11:U11"/>
    <mergeCell ref="AA3:AJ3"/>
    <mergeCell ref="AB11:AG11"/>
    <mergeCell ref="V8:AA8"/>
    <mergeCell ref="T3:Y3"/>
    <mergeCell ref="V9:AA9"/>
    <mergeCell ref="AA4:AJ4"/>
    <mergeCell ref="T4:Y4"/>
    <mergeCell ref="E39:F41"/>
    <mergeCell ref="E36:F38"/>
    <mergeCell ref="P34:R34"/>
    <mergeCell ref="AC36:AD38"/>
    <mergeCell ref="U36:V38"/>
    <mergeCell ref="I36:J38"/>
    <mergeCell ref="Q39:R41"/>
    <mergeCell ref="Y36:Z38"/>
    <mergeCell ref="I39:J41"/>
    <mergeCell ref="U39:V41"/>
    <mergeCell ref="AC39:AD41"/>
    <mergeCell ref="D34:F34"/>
    <mergeCell ref="H34:J34"/>
    <mergeCell ref="L34:N34"/>
    <mergeCell ref="E51:F53"/>
    <mergeCell ref="I51:J53"/>
    <mergeCell ref="M51:N53"/>
    <mergeCell ref="Q51:R53"/>
    <mergeCell ref="M42:N44"/>
    <mergeCell ref="E45:F47"/>
    <mergeCell ref="E48:F50"/>
    <mergeCell ref="I45:J47"/>
    <mergeCell ref="I48:J50"/>
    <mergeCell ref="Q45:R47"/>
    <mergeCell ref="M48:N50"/>
    <mergeCell ref="Q48:R50"/>
    <mergeCell ref="Y42:Z44"/>
    <mergeCell ref="Y45:Z47"/>
    <mergeCell ref="Y48:Z50"/>
    <mergeCell ref="AG42:AH44"/>
    <mergeCell ref="AG45:AH47"/>
    <mergeCell ref="AG48:AH50"/>
    <mergeCell ref="AG51:AH53"/>
    <mergeCell ref="AC42:AD44"/>
    <mergeCell ref="AC45:AD47"/>
    <mergeCell ref="EC101:EH101"/>
    <mergeCell ref="J15:O15"/>
    <mergeCell ref="J16:O16"/>
    <mergeCell ref="V15:AA15"/>
    <mergeCell ref="V16:AA16"/>
    <mergeCell ref="J19:O19"/>
    <mergeCell ref="Z19:AG21"/>
    <mergeCell ref="R19:W19"/>
    <mergeCell ref="C57:AI57"/>
    <mergeCell ref="E42:F44"/>
    <mergeCell ref="I42:J44"/>
    <mergeCell ref="M36:N38"/>
    <mergeCell ref="M39:N41"/>
    <mergeCell ref="U51:V53"/>
    <mergeCell ref="M45:N47"/>
    <mergeCell ref="U45:V47"/>
    <mergeCell ref="Q36:R38"/>
    <mergeCell ref="U48:V50"/>
    <mergeCell ref="Y51:Z53"/>
    <mergeCell ref="AC51:AD53"/>
    <mergeCell ref="AG36:AH38"/>
    <mergeCell ref="AG39:AH41"/>
    <mergeCell ref="AC48:AD50"/>
    <mergeCell ref="Y39:Z41"/>
  </mergeCells>
  <conditionalFormatting sqref="M14">
    <cfRule type="cellIs" priority="872" dxfId="1" operator="lessThan" stopIfTrue="1">
      <formula>0</formula>
    </cfRule>
    <cfRule type="cellIs" priority="871" dxfId="0" operator="greaterThan" stopIfTrue="1">
      <formula>0</formula>
    </cfRule>
  </conditionalFormatting>
  <conditionalFormatting sqref="D36 D39 D42 D45 D48 D51 H36 H39 H42 H45 H48 H51 L36 L39 L42 L45 L48 L51 P36 P39 P42 P45 P48 P51 T36 T39 T42 T45 T48 T51 X36 X39 X42 X45 X48 X51 AB36 AB39 AB42 AB45 AB48 AB51 AF36 AF39 AF42 AF45 AF48 AF51">
    <cfRule type="expression" priority="252" dxfId="2">
      <formula>D36&lt;&gt;""</formula>
    </cfRule>
  </conditionalFormatting>
  <conditionalFormatting sqref="D37 D40 H37 H40 D43 D46 D49 D52 H43 H46 H49 H52 L37 L40 L43 L46 L49 L52 P37 P40 P43 P46 P49 P52 T37 T40 T43 T46 T49 T52 X37 X40 X43 X46 X49 X52 AB37 AB40 AB43 AB46 AB49 AB52 AF37 AF40 AF43 AF46 AF49 AF52">
    <cfRule type="containsText" priority="104" dxfId="0" operator="containsText" stopIfTrue="1" text="*+">
      <formula>NOT(ISERROR(SEARCH("*+",D37)))</formula>
    </cfRule>
    <cfRule type="containsText" priority="103" dxfId="1" operator="containsText" stopIfTrue="1" text="*-">
      <formula>NOT(ISERROR(SEARCH("*-",D37)))</formula>
    </cfRule>
  </conditionalFormatting>
  <conditionalFormatting sqref="AL8">
    <cfRule type="containsText" priority="6" dxfId="45" operator="containsText" stopIfTrue="1" text="Retailer">
      <formula>NOT(ISERROR(SEARCH("Retailer",AL8)))</formula>
    </cfRule>
    <cfRule type="cellIs" priority="5" dxfId="46" operator="equal" stopIfTrue="1">
      <formula>"Retailer"</formula>
    </cfRule>
  </conditionalFormatting>
  <conditionalFormatting sqref="AL9:AL15">
    <cfRule type="containsText" priority="2" dxfId="45" operator="containsText" stopIfTrue="1" text="Retailer">
      <formula>NOT(ISERROR(SEARCH("Retailer",AL9)))</formula>
    </cfRule>
    <cfRule type="cellIs" priority="1" dxfId="46" operator="equal" stopIfTrue="1">
      <formula>"Retailer"</formula>
    </cfRule>
  </conditionalFormatting>
  <dataValidations count="1">
    <dataValidation type="list" allowBlank="1" showInputMessage="1" showErrorMessage="1" sqref="AL8:AL15">
      <formula1>$CV$110:$CV$300</formula1>
    </dataValidation>
  </dataValidations>
  <printOptions/>
  <pageMargins left="0.3" right="0.3" top="0.3" bottom="0.3" header="0.3" footer="0.3"/>
  <pageSetup horizontalDpi="600" verticalDpi="600" orientation="landscape" scale="1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K646"/>
  <sheetViews>
    <sheetView showGridLines="0" zoomScale="85" zoomScaleNormal="85" workbookViewId="0" topLeftCell="A1">
      <selection pane="topLeft" activeCell="D39" sqref="D39"/>
    </sheetView>
  </sheetViews>
  <sheetFormatPr defaultColWidth="9.14285714285714" defaultRowHeight="14.25"/>
  <cols>
    <col min="1" max="1" width="2.71428571428571" style="109" customWidth="1"/>
    <col min="2" max="2" width="0.285714285714286" style="109" customWidth="1"/>
    <col min="3" max="3" width="1.71428571428571" style="109" customWidth="1"/>
    <col min="4" max="4" width="7.71428571428571" style="109" customWidth="1"/>
    <col min="5" max="5" width="2.28571428571429" style="109" customWidth="1"/>
    <col min="6" max="6" width="9.57142857142857" style="109" customWidth="1"/>
    <col min="7" max="7" width="0.857142857142857" style="109" customWidth="1"/>
    <col min="8" max="8" width="7.71428571428571" style="109" customWidth="1"/>
    <col min="9" max="9" width="2.28571428571429" style="109" customWidth="1"/>
    <col min="10" max="10" width="9.57142857142857" style="109" customWidth="1"/>
    <col min="11" max="11" width="0.857142857142857" style="109" customWidth="1"/>
    <col min="12" max="12" width="7.71428571428571" style="109" customWidth="1"/>
    <col min="13" max="13" width="2.28571428571429" style="109" customWidth="1"/>
    <col min="14" max="14" width="9.57142857142857" style="109" customWidth="1"/>
    <col min="15" max="15" width="0.857142857142857" style="109" customWidth="1"/>
    <col min="16" max="16" width="7.71428571428571" style="109" customWidth="1"/>
    <col min="17" max="17" width="2.28571428571429" style="109" customWidth="1"/>
    <col min="18" max="18" width="9.57142857142857" style="109" customWidth="1"/>
    <col min="19" max="19" width="0.857142857142857" style="109" customWidth="1"/>
    <col min="20" max="20" width="7.71428571428571" style="109" customWidth="1"/>
    <col min="21" max="21" width="2.28571428571429" style="109" customWidth="1"/>
    <col min="22" max="22" width="9.57142857142857" style="109" customWidth="1"/>
    <col min="23" max="23" width="0.857142857142857" style="109" customWidth="1"/>
    <col min="24" max="24" width="7.71428571428571" style="109" customWidth="1"/>
    <col min="25" max="25" width="2.28571428571429" style="109" customWidth="1"/>
    <col min="26" max="26" width="9.57142857142857" style="109" customWidth="1"/>
    <col min="27" max="27" width="0.857142857142857" style="109" customWidth="1"/>
    <col min="28" max="28" width="7.71428571428571" style="109" customWidth="1"/>
    <col min="29" max="29" width="2.28571428571429" style="109" customWidth="1"/>
    <col min="30" max="30" width="9.57142857142857" style="109" customWidth="1"/>
    <col min="31" max="31" width="0.857142857142857" style="109" customWidth="1"/>
    <col min="32" max="32" width="7.71428571428571" style="109" customWidth="1"/>
    <col min="33" max="33" width="2.28571428571429" style="109" customWidth="1"/>
    <col min="34" max="34" width="9.57142857142857" style="109" customWidth="1"/>
    <col min="35" max="35" width="1.71428571428571" style="109" customWidth="1"/>
    <col min="36" max="36" width="0.285714285714286" style="109" customWidth="1"/>
    <col min="37" max="37" width="2.71428571428571" style="109" customWidth="1"/>
    <col min="38" max="38" width="28.7142857142857" style="109" customWidth="1"/>
    <col min="39" max="77" width="9.14285714285714" style="109" customWidth="1"/>
    <col min="78" max="78" width="14.1428571428571" style="109" customWidth="1"/>
    <col min="79" max="79" width="14" style="109" customWidth="1"/>
    <col min="80" max="80" width="19" style="109" customWidth="1"/>
    <col min="81" max="81" width="14.8571428571429" style="109" customWidth="1"/>
    <col min="82" max="82" width="12.7142857142857" style="109" customWidth="1"/>
    <col min="83" max="83" width="18.7142857142857" style="109" customWidth="1"/>
    <col min="84" max="84" width="14.1428571428571" style="109" customWidth="1"/>
    <col min="85" max="85" width="18.7142857142857" style="109" customWidth="1"/>
    <col min="86" max="86" width="12.7142857142857" style="109" customWidth="1"/>
    <col min="87" max="87" width="18.7142857142857" style="109" customWidth="1"/>
    <col min="88" max="88" width="12.7142857142857" style="109" customWidth="1"/>
    <col min="89" max="89" width="18.7142857142857" style="109" customWidth="1"/>
    <col min="90" max="90" width="20.2857142857143" style="109" customWidth="1"/>
    <col min="91" max="91" width="16.2857142857143" style="109" customWidth="1"/>
    <col min="92" max="92" width="14.1428571428571" style="109" customWidth="1"/>
    <col min="93" max="93" width="21.1428571428571" style="109" customWidth="1"/>
    <col min="94" max="94" width="14.1428571428571" style="109" customWidth="1"/>
    <col min="95" max="95" width="21.1428571428571" style="109" customWidth="1"/>
    <col min="96" max="96" width="12.7142857142857" style="109" customWidth="1"/>
    <col min="97" max="97" width="21.1428571428571" style="109" customWidth="1"/>
    <col min="98" max="98" width="17.4285714285714" style="109" customWidth="1"/>
    <col min="99" max="99" width="21.1428571428571" style="109" customWidth="1"/>
    <col min="100" max="100" width="23.7142857142857" style="109" customWidth="1"/>
    <col min="101" max="101" width="17.2857142857143" style="109" customWidth="1"/>
    <col min="102" max="102" width="52.2857142857143" style="109" customWidth="1"/>
    <col min="103" max="103" width="29.8571428571429" style="109" customWidth="1"/>
    <col min="104" max="104" width="13.5714285714286" style="109" customWidth="1"/>
    <col min="105" max="105" width="18.1428571428571" style="109" customWidth="1"/>
    <col min="106" max="106" width="16.2857142857143" style="109" customWidth="1"/>
    <col min="107" max="107" width="16.8571428571429" style="109" customWidth="1"/>
    <col min="108" max="108" width="19.1428571428571" style="109" customWidth="1"/>
    <col min="109" max="109" width="38.2857142857143" style="109" customWidth="1"/>
    <col min="110" max="110" width="28.8571428571429" style="109" customWidth="1"/>
    <col min="111" max="111" width="31.4285714285714" style="109" customWidth="1"/>
    <col min="112" max="112" width="28.5714285714286" style="109" customWidth="1"/>
    <col min="113" max="113" width="37.1428571428571" style="109" customWidth="1"/>
    <col min="114" max="114" width="39.1428571428571" style="109" customWidth="1"/>
    <col min="115" max="115" width="43.4285714285714" style="109" customWidth="1"/>
    <col min="116" max="116" width="45.4285714285714" style="109" customWidth="1"/>
    <col min="117" max="117" width="48" style="109" customWidth="1"/>
    <col min="118" max="118" width="29.8571428571429" style="109" customWidth="1"/>
    <col min="119" max="119" width="13.5714285714286" style="109" customWidth="1"/>
    <col min="120" max="120" width="18.1428571428571" style="109" customWidth="1"/>
    <col min="121" max="121" width="16.2857142857143" style="109" customWidth="1"/>
    <col min="122" max="122" width="16.8571428571429" style="109" customWidth="1"/>
    <col min="123" max="123" width="19.1428571428571" style="109" customWidth="1"/>
    <col min="124" max="124" width="38.2857142857143" style="109" customWidth="1"/>
    <col min="125" max="125" width="28.8571428571429" style="109" customWidth="1"/>
    <col min="126" max="126" width="31.4285714285714" style="109" customWidth="1"/>
    <col min="127" max="127" width="28.5714285714286" style="109" customWidth="1"/>
    <col min="128" max="128" width="37.1428571428571" style="109" customWidth="1"/>
    <col min="129" max="129" width="39.1428571428571" style="109" customWidth="1"/>
    <col min="130" max="130" width="43.4285714285714" style="109" customWidth="1"/>
    <col min="131" max="131" width="45.4285714285714" style="109" customWidth="1"/>
    <col min="132" max="132" width="48" style="109" customWidth="1"/>
    <col min="133" max="133" width="39.1428571428571" style="109" customWidth="1"/>
    <col min="134" max="134" width="43.4285714285714" style="109" customWidth="1"/>
    <col min="135" max="135" width="39.1428571428571" style="109" customWidth="1"/>
    <col min="136" max="136" width="43.4285714285714" style="109" customWidth="1"/>
    <col min="137" max="138" width="12.8571428571429" style="109" customWidth="1"/>
    <col min="139" max="139" width="39.1428571428571" style="109" customWidth="1"/>
    <col min="140" max="140" width="32.5714285714286" style="109" customWidth="1"/>
    <col min="141" max="141" width="13.7142857142857" style="109" customWidth="1"/>
    <col min="142" max="16384" width="9.14285714285714" style="109" customWidth="1"/>
  </cols>
  <sheetData>
    <row r="1" spans="1:138" ht="18" customHeight="1">
      <c r="A1" s="1"/>
      <c s="1"/>
      <c s="1" t="s">
        <v>0</v>
      </c>
      <c s="1"/>
      <c s="1"/>
      <c s="1"/>
      <c s="1"/>
      <c s="1"/>
      <c s="1"/>
      <c s="1"/>
      <c s="1"/>
      <c s="1"/>
      <c s="1"/>
      <c r="T1" s="141"/>
      <c s="142"/>
      <c s="142"/>
      <c s="142"/>
      <c s="142"/>
      <c s="143"/>
      <c s="15" t="s">
        <v>53</v>
      </c>
      <c s="147" t="s">
        <v>25</v>
      </c>
      <c s="148"/>
      <c s="148"/>
      <c s="148"/>
      <c s="148"/>
      <c s="148"/>
      <c s="148"/>
      <c s="148"/>
      <c s="148"/>
      <c s="149"/>
      <c r="AL1" s="15" t="s">
        <v>409</v>
      </c>
      <c r="CA1" s="20" t="s">
        <v>39</v>
      </c>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 spans="1:138" ht="18" customHeight="1">
      <c r="A2" s="1"/>
      <c s="1"/>
      <c/>
      <c/>
      <c/>
      <c/>
      <c/>
      <c/>
      <c/>
      <c/>
      <c/>
      <c/>
      <c/>
      <c/>
      <c r="T2" s="144" t="s">
        <v>27</v>
      </c>
      <c s="145"/>
      <c s="145"/>
      <c s="145"/>
      <c s="145"/>
      <c s="146"/>
      <c s="15" t="s">
        <v>53</v>
      </c>
      <c s="147" t="s">
        <v>28</v>
      </c>
      <c s="148"/>
      <c s="148"/>
      <c s="148"/>
      <c s="148"/>
      <c s="148"/>
      <c s="148"/>
      <c s="148"/>
      <c s="148"/>
      <c s="149"/>
      <c r="AL2" s="166" t="s">
        <v>410</v>
      </c>
      <c r="CA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 spans="1:138" ht="18">
      <c r="A3" s="1"/>
      <c s="82"/>
      <c s="82"/>
      <c s="1"/>
      <c s="1"/>
      <c s="1"/>
      <c s="1"/>
      <c s="1"/>
      <c s="1"/>
      <c s="1"/>
      <c s="1"/>
      <c s="1"/>
      <c s="1"/>
      <c s="1"/>
      <c s="1"/>
      <c r="T3" s="156" t="s">
        <v>26</v>
      </c>
      <c s="157"/>
      <c s="157"/>
      <c s="157"/>
      <c s="157"/>
      <c s="158"/>
      <c s="15" t="s">
        <v>53</v>
      </c>
      <c s="147" t="s">
        <v>390</v>
      </c>
      <c s="148"/>
      <c s="148"/>
      <c s="148"/>
      <c s="148"/>
      <c s="148"/>
      <c s="148"/>
      <c s="148"/>
      <c s="148"/>
      <c s="149"/>
      <c r="AL3" s="167"/>
      <c r="CA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 spans="1:138" ht="15">
      <c r="A4" s="21"/>
      <c s="21"/>
      <c s="21"/>
      <c s="21"/>
      <c s="21"/>
      <c s="21"/>
      <c s="21"/>
      <c s="21"/>
      <c s="21"/>
      <c s="21"/>
      <c s="21"/>
      <c s="21"/>
      <c s="21"/>
      <c s="21"/>
      <c s="21"/>
      <c s="21"/>
      <c s="21"/>
      <c s="21"/>
      <c s="21"/>
      <c s="162"/>
      <c s="163"/>
      <c s="163"/>
      <c s="163"/>
      <c s="163"/>
      <c s="164"/>
      <c s="15" t="s">
        <v>53</v>
      </c>
      <c s="147" t="s">
        <v>412</v>
      </c>
      <c s="148"/>
      <c s="148"/>
      <c s="148"/>
      <c s="148"/>
      <c s="148"/>
      <c s="148"/>
      <c s="148"/>
      <c s="148"/>
      <c s="149"/>
      <c r="AL4" s="168"/>
      <c r="CA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 spans="1:138" s="43" customFormat="1" ht="1.5" customHeight="1">
      <c r="A5" s="40"/>
      <c s="40"/>
      <c s="40"/>
      <c s="40"/>
      <c s="40"/>
      <c s="40"/>
      <c s="40"/>
      <c s="40"/>
      <c s="40"/>
      <c s="40"/>
      <c s="40"/>
      <c s="40"/>
      <c s="40"/>
      <c s="40"/>
      <c s="40"/>
      <c s="40"/>
      <c s="40"/>
      <c s="40"/>
      <c s="40"/>
      <c s="94"/>
      <c s="94"/>
      <c s="94"/>
      <c s="94"/>
      <c s="94"/>
      <c s="94"/>
      <c s="95"/>
      <c s="96"/>
      <c s="96"/>
      <c s="96"/>
      <c s="96"/>
      <c s="96"/>
      <c s="96"/>
      <c s="96"/>
      <c s="96"/>
      <c s="96"/>
      <c s="96"/>
      <c r="AL5" s="97"/>
      <c r="CA5"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c s="93"/>
    </row>
    <row r="6" spans="1:138" ht="1.5" customHeight="1">
      <c r="A6" s="21"/>
      <c s="22"/>
      <c s="23"/>
      <c s="23"/>
      <c s="23"/>
      <c s="23"/>
      <c s="23"/>
      <c s="23"/>
      <c s="23"/>
      <c s="23"/>
      <c s="23"/>
      <c s="23"/>
      <c s="23"/>
      <c s="23"/>
      <c s="23"/>
      <c s="23"/>
      <c s="23"/>
      <c s="23"/>
      <c s="23"/>
      <c s="23"/>
      <c s="23"/>
      <c s="23"/>
      <c s="23"/>
      <c s="23"/>
      <c s="23"/>
      <c s="23"/>
      <c s="23"/>
      <c s="23"/>
      <c s="23"/>
      <c s="23"/>
      <c s="23"/>
      <c s="23"/>
      <c s="23"/>
      <c s="23"/>
      <c s="23"/>
      <c s="24"/>
      <c r="CA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 spans="1:138" ht="1.5" customHeight="1">
      <c r="A7" s="21"/>
      <c s="25"/>
      <c s="21"/>
      <c s="21"/>
      <c s="21"/>
      <c s="21"/>
      <c s="21"/>
      <c s="21"/>
      <c s="21"/>
      <c s="21"/>
      <c s="21"/>
      <c s="21"/>
      <c s="21"/>
      <c s="21"/>
      <c s="21"/>
      <c s="21"/>
      <c s="21"/>
      <c s="21"/>
      <c s="21"/>
      <c s="21"/>
      <c s="21"/>
      <c s="21"/>
      <c s="21"/>
      <c s="21"/>
      <c s="21"/>
      <c s="21"/>
      <c s="21"/>
      <c s="21"/>
      <c s="21"/>
      <c s="21"/>
      <c s="21"/>
      <c s="21"/>
      <c s="21"/>
      <c s="21"/>
      <c s="21"/>
      <c s="26"/>
      <c r="CA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 spans="1:138" ht="12" customHeight="1">
      <c r="A8" s="21"/>
      <c s="25"/>
      <c s="21"/>
      <c s="83" t="str">
        <f>Picture!D8</f>
        <v>Geography : Total US - Target Corporate</v>
      </c>
      <c r="F8" s="21"/>
      <c s="21"/>
      <c s="21"/>
      <c s="21"/>
      <c s="21"/>
      <c s="21"/>
      <c s="21"/>
      <c s="21"/>
      <c s="21"/>
      <c s="21"/>
      <c s="21"/>
      <c s="21"/>
      <c s="21"/>
      <c s="107"/>
      <c s="107"/>
      <c s="108"/>
      <c s="153" t="str">
        <f>Picture!V8</f>
        <v>121.2MM HHs</v>
      </c>
      <c s="154"/>
      <c s="154"/>
      <c s="154"/>
      <c s="154"/>
      <c s="155"/>
      <c s="107"/>
      <c s="107"/>
      <c s="107"/>
      <c s="21"/>
      <c s="21"/>
      <c s="21"/>
      <c s="21"/>
      <c s="21"/>
      <c s="26"/>
      <c r="AL8" s="91" t="s">
        <v>4</v>
      </c>
      <c r="CA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 spans="1:138" ht="12" customHeight="1">
      <c r="A9" s="21"/>
      <c s="25"/>
      <c s="21"/>
      <c s="83" t="str">
        <f>Picture!D9</f>
        <v>Time : Latest 52 Weeks Ending Jan-24-2016</v>
      </c>
      <c r="F9" s="21"/>
      <c s="21"/>
      <c s="21"/>
      <c s="21"/>
      <c s="21"/>
      <c s="21"/>
      <c s="21"/>
      <c s="21"/>
      <c s="21"/>
      <c s="21"/>
      <c s="21"/>
      <c s="21"/>
      <c s="29"/>
      <c s="21"/>
      <c s="21"/>
      <c s="21"/>
      <c s="159" t="str">
        <f>Picture!V9</f>
        <v>in Total US </v>
      </c>
      <c s="160"/>
      <c s="160"/>
      <c s="160"/>
      <c s="160"/>
      <c s="161"/>
      <c s="21"/>
      <c s="21"/>
      <c s="21"/>
      <c s="110"/>
      <c s="21"/>
      <c s="21"/>
      <c r="AI9" s="21"/>
      <c s="26"/>
      <c r="AL9" s="91" t="s">
        <v>4</v>
      </c>
      <c r="CA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 spans="1:138" ht="12" customHeight="1">
      <c r="A10" s="21"/>
      <c s="25"/>
      <c s="21"/>
      <c s="83" t="str">
        <f>Picture!D10</f>
        <v>Product : AISLE-LAUNDRY</v>
      </c>
      <c r="F10" s="21"/>
      <c s="21"/>
      <c s="21"/>
      <c s="21"/>
      <c s="21"/>
      <c s="21"/>
      <c s="21"/>
      <c s="21"/>
      <c s="21"/>
      <c s="21"/>
      <c s="21"/>
      <c s="21"/>
      <c s="29"/>
      <c s="21"/>
      <c s="10"/>
      <c s="21"/>
      <c r="Y10" s="21"/>
      <c r="AB10" s="21"/>
      <c s="21"/>
      <c s="21"/>
      <c s="11"/>
      <c s="10"/>
      <c s="21"/>
      <c r="AI10" s="21"/>
      <c s="26"/>
      <c r="AL10" s="91" t="s">
        <v>4</v>
      </c>
      <c r="CA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1" spans="1:138" ht="12" customHeight="1">
      <c r="A11" s="21"/>
      <c s="25"/>
      <c s="21"/>
      <c s="83" t="str">
        <f>Picture!D11</f>
        <v>HH Demo Summary : All HH Income Per Capita</v>
      </c>
      <c r="F11" s="21"/>
      <c s="21"/>
      <c s="21"/>
      <c s="21"/>
      <c s="21"/>
      <c s="21"/>
      <c s="21"/>
      <c s="21"/>
      <c s="107"/>
      <c s="107"/>
      <c s="150" t="str">
        <f>Picture!P11</f>
        <v>55.4% (-1.5pts) (67.1MM HHs)</v>
      </c>
      <c s="151"/>
      <c s="151"/>
      <c s="151"/>
      <c s="151"/>
      <c s="152"/>
      <c s="107"/>
      <c s="107"/>
      <c r="Y11" s="21"/>
      <c r="AB11" s="122" t="str">
        <f>Picture!AB11</f>
        <v>44.6% (+1.5pts) (54.0MM HHs)</v>
      </c>
      <c s="123"/>
      <c s="123"/>
      <c s="123"/>
      <c s="123"/>
      <c s="124"/>
      <c r="AI11" s="21"/>
      <c s="26"/>
      <c r="AL11" s="91" t="s">
        <v>4</v>
      </c>
      <c r="CA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2" spans="1:138" ht="12" customHeight="1">
      <c r="A12" s="21"/>
      <c s="25"/>
      <c s="21"/>
      <c s="83" t="str">
        <f>Picture!D12</f>
        <v>Trip Mission : All Trip Missions</v>
      </c>
      <c s="21"/>
      <c s="21"/>
      <c s="21"/>
      <c s="21"/>
      <c s="21"/>
      <c s="21"/>
      <c s="21"/>
      <c s="21"/>
      <c s="32"/>
      <c s="80"/>
      <c s="21"/>
      <c s="175" t="str">
        <f>Picture!P12</f>
        <v>Shop in Target Corporate</v>
      </c>
      <c s="176"/>
      <c s="176"/>
      <c s="176"/>
      <c s="176"/>
      <c s="177"/>
      <c s="21"/>
      <c s="21"/>
      <c s="110"/>
      <c s="21"/>
      <c s="21"/>
      <c r="AB12" s="178" t="str">
        <f>Picture!AB12</f>
        <v>Do Not Shop in Target Corporate</v>
      </c>
      <c s="179"/>
      <c s="179"/>
      <c s="179"/>
      <c s="179"/>
      <c s="180"/>
      <c r="AI12" s="21"/>
      <c s="26"/>
      <c r="AL12" s="91" t="s">
        <v>4</v>
      </c>
      <c r="CA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3" spans="1:138" ht="12" customHeight="1">
      <c r="A13" s="21"/>
      <c s="25"/>
      <c s="21"/>
      <c s="83" t="str">
        <f>Picture!D13</f>
        <v>Parent Company : Total (Unfiltered)</v>
      </c>
      <c s="21"/>
      <c s="21"/>
      <c s="21"/>
      <c s="21"/>
      <c s="21"/>
      <c s="21"/>
      <c s="21"/>
      <c s="21"/>
      <c s="110"/>
      <c s="21"/>
      <c s="21"/>
      <c s="138"/>
      <c s="139"/>
      <c s="139"/>
      <c s="139"/>
      <c s="139"/>
      <c s="140"/>
      <c s="21"/>
      <c s="21"/>
      <c s="110"/>
      <c s="21"/>
      <c s="21"/>
      <c r="AB13" s="125"/>
      <c s="126"/>
      <c s="126"/>
      <c s="126"/>
      <c s="126"/>
      <c s="127"/>
      <c r="AI13" s="21"/>
      <c s="26"/>
      <c r="AL13" s="91" t="s">
        <v>4</v>
      </c>
      <c r="CA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14" spans="1:138" ht="6" customHeight="1">
      <c r="A14" s="21"/>
      <c s="25"/>
      <c s="21"/>
      <c s="21"/>
      <c s="21"/>
      <c s="21"/>
      <c s="21"/>
      <c s="21"/>
      <c s="21"/>
      <c s="21"/>
      <c s="21"/>
      <c s="21"/>
      <c s="11"/>
      <c s="81"/>
      <c s="21"/>
      <c s="2"/>
      <c s="21"/>
      <c s="21"/>
      <c r="U14" s="21"/>
      <c s="21"/>
      <c s="21"/>
      <c s="11"/>
      <c s="21"/>
      <c r="AB14" s="21"/>
      <c r="AI14" s="21"/>
      <c s="26"/>
      <c r="CA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5" spans="1:138" ht="12" customHeight="1">
      <c r="A15" s="21"/>
      <c s="25"/>
      <c s="21"/>
      <c r="J15" s="116" t="str">
        <f>Picture!J15</f>
        <v>91.6% (-1.0pts) (61.5MM HHs)</v>
      </c>
      <c s="117"/>
      <c s="117"/>
      <c s="117"/>
      <c s="117"/>
      <c s="118"/>
      <c s="31"/>
      <c s="107"/>
      <c s="107"/>
      <c s="107"/>
      <c s="21"/>
      <c s="21"/>
      <c s="122" t="str">
        <f>Picture!V15</f>
        <v>8.4% (+1.0pts) (5.6MM HHs)</v>
      </c>
      <c s="123"/>
      <c s="123"/>
      <c s="123"/>
      <c s="123"/>
      <c s="124"/>
      <c r="AJ15" s="26"/>
      <c r="AL15" s="98"/>
      <c r="CA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6" spans="1:138" ht="24.75" customHeight="1">
      <c r="A16" s="21"/>
      <c s="25"/>
      <c s="21"/>
      <c r="J16" s="119" t="str">
        <f>Picture!J16</f>
        <v>Buy AISLE-LAUNDRY Somewhere</v>
      </c>
      <c s="120"/>
      <c s="120"/>
      <c s="120"/>
      <c s="120"/>
      <c s="121"/>
      <c r="R16" s="80"/>
      <c s="21"/>
      <c s="110"/>
      <c s="21"/>
      <c s="125" t="str">
        <f>Picture!V16</f>
        <v>Do Not Buy AISLE-LAUNDRY Anywhere</v>
      </c>
      <c s="126"/>
      <c s="126"/>
      <c s="126"/>
      <c s="126"/>
      <c s="127"/>
      <c r="AJ16" s="26"/>
      <c r="AL16" s="99"/>
      <c r="CA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7" spans="1:138" ht="6" customHeight="1">
      <c r="A17" s="21"/>
      <c s="25"/>
      <c s="21"/>
      <c s="21"/>
      <c s="21"/>
      <c s="21"/>
      <c s="21"/>
      <c s="21"/>
      <c s="21"/>
      <c s="21"/>
      <c s="21"/>
      <c s="21"/>
      <c s="32"/>
      <c s="21"/>
      <c s="21"/>
      <c s="21"/>
      <c s="21"/>
      <c s="10"/>
      <c s="21"/>
      <c s="110"/>
      <c s="21"/>
      <c s="21"/>
      <c s="21"/>
      <c s="21"/>
      <c s="21"/>
      <c s="21"/>
      <c s="21"/>
      <c s="21"/>
      <c r="AI17" s="21"/>
      <c s="26"/>
      <c r="AL17" s="99"/>
      <c r="CA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8" spans="1:138" ht="3.75" customHeight="1">
      <c r="A18" s="21"/>
      <c s="25"/>
      <c s="21"/>
      <c s="34"/>
      <c s="34"/>
      <c s="34"/>
      <c s="34"/>
      <c s="34"/>
      <c s="34"/>
      <c s="34"/>
      <c s="34"/>
      <c s="34"/>
      <c s="35"/>
      <c s="34"/>
      <c s="34"/>
      <c s="34"/>
      <c s="34"/>
      <c s="34"/>
      <c s="34"/>
      <c s="35"/>
      <c s="34"/>
      <c s="34"/>
      <c s="34"/>
      <c s="34"/>
      <c s="34"/>
      <c s="34"/>
      <c s="34"/>
      <c s="34"/>
      <c s="34"/>
      <c s="34"/>
      <c s="34"/>
      <c s="34"/>
      <c s="34"/>
      <c s="34"/>
      <c s="21"/>
      <c s="26"/>
      <c r="CA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9" spans="1:138" ht="12.75" customHeight="1">
      <c r="A19" s="21"/>
      <c s="25"/>
      <c s="21"/>
      <c s="192" t="s">
        <v>473</v>
      </c>
      <c s="192"/>
      <c s="192"/>
      <c s="192"/>
      <c s="192"/>
      <c s="193"/>
      <c s="116" t="str">
        <f>Picture!J19</f>
        <v>26.8% (-2.1pts) (16.5MM HHs)</v>
      </c>
      <c s="117"/>
      <c s="117"/>
      <c s="117"/>
      <c s="117"/>
      <c s="118"/>
      <c s="34"/>
      <c s="34"/>
      <c s="122" t="str">
        <f>Picture!R19</f>
        <v>73.2% (+2.1pts) (45.0MM HHs)</v>
      </c>
      <c s="123"/>
      <c s="123"/>
      <c s="123"/>
      <c s="123"/>
      <c s="124"/>
      <c s="34"/>
      <c s="34"/>
      <c s="128" t="s">
        <v>46</v>
      </c>
      <c s="129"/>
      <c s="129"/>
      <c s="129"/>
      <c s="129"/>
      <c s="129"/>
      <c s="129"/>
      <c s="129"/>
      <c s="3"/>
      <c s="4"/>
      <c s="26"/>
      <c r="CA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0" spans="1:138" ht="12.75" customHeight="1">
      <c r="A20" s="21"/>
      <c s="25"/>
      <c s="21"/>
      <c s="192"/>
      <c s="192"/>
      <c s="192"/>
      <c s="192"/>
      <c s="192"/>
      <c s="193"/>
      <c s="200" t="str">
        <f>Picture!J20</f>
        <v>Buy AISLE-LAUNDRY in Target Corporate</v>
      </c>
      <c s="201"/>
      <c s="201"/>
      <c s="201"/>
      <c s="201"/>
      <c s="202"/>
      <c s="34"/>
      <c s="34"/>
      <c s="169" t="str">
        <f>Picture!R20</f>
        <v>Do Not Buy AISLE-LAUNDRY in Target Corporate</v>
      </c>
      <c s="170"/>
      <c s="170"/>
      <c s="170"/>
      <c s="170"/>
      <c s="171"/>
      <c s="34"/>
      <c s="34"/>
      <c s="128"/>
      <c s="129"/>
      <c s="129"/>
      <c s="129"/>
      <c s="129"/>
      <c s="129"/>
      <c s="129"/>
      <c s="129"/>
      <c s="3"/>
      <c s="4"/>
      <c s="26"/>
      <c r="CA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21" spans="1:138" ht="12.75" customHeight="1">
      <c r="A21" s="21"/>
      <c s="25"/>
      <c s="21"/>
      <c s="194">
        <f>Picture!D21</f>
        <v>16876764.4116231</v>
      </c>
      <c s="195"/>
      <c s="195"/>
      <c s="195"/>
      <c s="195"/>
      <c s="196"/>
      <c s="203"/>
      <c s="204"/>
      <c s="204"/>
      <c s="204"/>
      <c s="204"/>
      <c s="205"/>
      <c s="34"/>
      <c s="34"/>
      <c s="172"/>
      <c s="173"/>
      <c s="173"/>
      <c s="173"/>
      <c s="173"/>
      <c s="174"/>
      <c s="34"/>
      <c s="34"/>
      <c s="129"/>
      <c s="129"/>
      <c s="129"/>
      <c s="129"/>
      <c s="129"/>
      <c s="129"/>
      <c s="129"/>
      <c s="129"/>
      <c s="38"/>
      <c s="39"/>
      <c s="26"/>
      <c r="CA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2" spans="1:138" s="43" customFormat="1" ht="3.75" customHeight="1">
      <c r="A22" s="40"/>
      <c s="41"/>
      <c s="40"/>
      <c s="34"/>
      <c s="34"/>
      <c s="36"/>
      <c s="36"/>
      <c s="36"/>
      <c s="5"/>
      <c s="5"/>
      <c s="8"/>
      <c s="5"/>
      <c s="34"/>
      <c s="34"/>
      <c s="34"/>
      <c s="34"/>
      <c s="34"/>
      <c s="5"/>
      <c s="5"/>
      <c s="8"/>
      <c s="5"/>
      <c s="34"/>
      <c s="38"/>
      <c s="34"/>
      <c s="34"/>
      <c s="34"/>
      <c s="34"/>
      <c s="38"/>
      <c s="38"/>
      <c s="38"/>
      <c s="38"/>
      <c s="38"/>
      <c s="38"/>
      <c s="38"/>
      <c s="39"/>
      <c s="42"/>
      <c r="AL22" s="109"/>
      <c r="CA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3" spans="1:138" s="43" customFormat="1" ht="6" customHeight="1">
      <c r="A23" s="40"/>
      <c s="41"/>
      <c s="40"/>
      <c s="40"/>
      <c s="40"/>
      <c s="39"/>
      <c s="44"/>
      <c s="45"/>
      <c s="45"/>
      <c s="45"/>
      <c s="46"/>
      <c s="44"/>
      <c s="44"/>
      <c s="40"/>
      <c s="40"/>
      <c s="39"/>
      <c s="39"/>
      <c s="40"/>
      <c s="39"/>
      <c s="46"/>
      <c s="45"/>
      <c s="45"/>
      <c s="39"/>
      <c s="40"/>
      <c s="40"/>
      <c s="40"/>
      <c s="40"/>
      <c s="39"/>
      <c s="39"/>
      <c s="39"/>
      <c s="39"/>
      <c s="39"/>
      <c s="39"/>
      <c s="39"/>
      <c s="39"/>
      <c s="42"/>
      <c r="AL23" s="109"/>
      <c r="CA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4" spans="1:138" s="43" customFormat="1" ht="6" customHeight="1">
      <c r="A24" s="40"/>
      <c s="41"/>
      <c s="40"/>
      <c s="40"/>
      <c s="40"/>
      <c s="39"/>
      <c s="47"/>
      <c s="39"/>
      <c s="39"/>
      <c s="39"/>
      <c s="39"/>
      <c s="40"/>
      <c s="40"/>
      <c s="48"/>
      <c s="40"/>
      <c s="39"/>
      <c s="39"/>
      <c s="40"/>
      <c s="39"/>
      <c s="39"/>
      <c s="39"/>
      <c s="39"/>
      <c s="46"/>
      <c s="40"/>
      <c s="40"/>
      <c s="40"/>
      <c s="40"/>
      <c s="39"/>
      <c s="39"/>
      <c s="39"/>
      <c s="39"/>
      <c s="39"/>
      <c s="39"/>
      <c s="39"/>
      <c s="39"/>
      <c s="42"/>
      <c r="AL24" s="109"/>
      <c r="CA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5" spans="1:138" s="43" customFormat="1" ht="12" customHeight="1">
      <c r="A25" s="40"/>
      <c s="41"/>
      <c s="40"/>
      <c s="184" t="s">
        <v>1</v>
      </c>
      <c s="185"/>
      <c s="185"/>
      <c s="185"/>
      <c s="185"/>
      <c s="185"/>
      <c s="185"/>
      <c s="185"/>
      <c s="185"/>
      <c s="185"/>
      <c s="185"/>
      <c s="185"/>
      <c s="185"/>
      <c s="185"/>
      <c s="186"/>
      <c s="39"/>
      <c s="187" t="s">
        <v>2</v>
      </c>
      <c s="188"/>
      <c s="188"/>
      <c s="188"/>
      <c s="188"/>
      <c s="188"/>
      <c s="188"/>
      <c s="188"/>
      <c s="188"/>
      <c s="188"/>
      <c s="188"/>
      <c s="188"/>
      <c s="188"/>
      <c s="188"/>
      <c s="189"/>
      <c s="39"/>
      <c s="42"/>
      <c r="AL25" s="109"/>
      <c r="CA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6" spans="1:138" s="43" customFormat="1" ht="6" customHeight="1">
      <c r="A26" s="40"/>
      <c s="41"/>
      <c s="40"/>
      <c s="40"/>
      <c s="40"/>
      <c s="39"/>
      <c s="49"/>
      <c s="10"/>
      <c s="39"/>
      <c s="39"/>
      <c s="39"/>
      <c s="40"/>
      <c s="40"/>
      <c s="12"/>
      <c s="40"/>
      <c s="39"/>
      <c s="39"/>
      <c s="40"/>
      <c s="50"/>
      <c s="50"/>
      <c s="50"/>
      <c s="50"/>
      <c s="51"/>
      <c s="10"/>
      <c s="50"/>
      <c r="AC26" s="50"/>
      <c s="50"/>
      <c s="50"/>
      <c s="50"/>
      <c s="50"/>
      <c s="50"/>
      <c s="50"/>
      <c s="42"/>
      <c r="AL26" s="109"/>
      <c r="CA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7" spans="1:138" s="43" customFormat="1" ht="3.75" customHeight="1">
      <c r="A27" s="40"/>
      <c s="41"/>
      <c s="40"/>
      <c s="52"/>
      <c s="52"/>
      <c s="53"/>
      <c s="54"/>
      <c s="53"/>
      <c s="53"/>
      <c s="53"/>
      <c s="53"/>
      <c s="52"/>
      <c s="52"/>
      <c s="55"/>
      <c s="52"/>
      <c s="53"/>
      <c s="53"/>
      <c s="52"/>
      <c s="56"/>
      <c s="56"/>
      <c s="56"/>
      <c s="56"/>
      <c s="57"/>
      <c s="56"/>
      <c s="56"/>
      <c s="58"/>
      <c s="58"/>
      <c s="58"/>
      <c s="56"/>
      <c s="56"/>
      <c s="56"/>
      <c s="56"/>
      <c s="56"/>
      <c s="56"/>
      <c s="50"/>
      <c s="42"/>
      <c r="CA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8" spans="1:138" s="43" customFormat="1" ht="12" customHeight="1">
      <c r="A28" s="40"/>
      <c s="41"/>
      <c s="40"/>
      <c s="52"/>
      <c s="116" t="str">
        <f>Picture!E28</f>
        <v>31.3% (+0.4pts) ($244.7MM)</v>
      </c>
      <c s="117"/>
      <c s="117"/>
      <c s="117"/>
      <c s="117"/>
      <c s="118"/>
      <c s="6"/>
      <c s="122" t="str">
        <f>Picture!L28</f>
        <v>68.7% (-0.4pts) ($536.2MM)</v>
      </c>
      <c s="123"/>
      <c s="123"/>
      <c s="123"/>
      <c s="123"/>
      <c s="124"/>
      <c s="105"/>
      <c s="100"/>
      <c s="102"/>
      <c s="100"/>
      <c s="122" t="str">
        <f>Picture!V28</f>
        <v>100.0% (0.0pts) ($1,805.5MM)</v>
      </c>
      <c s="123"/>
      <c s="123"/>
      <c s="123"/>
      <c s="123"/>
      <c s="124"/>
      <c s="190" t="s">
        <v>47</v>
      </c>
      <c s="129"/>
      <c s="129"/>
      <c s="129"/>
      <c s="129"/>
      <c s="129"/>
      <c s="56"/>
      <c s="50"/>
      <c s="42"/>
      <c r="CA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29" spans="1:138" s="43" customFormat="1" ht="24" customHeight="1">
      <c r="A29" s="40"/>
      <c s="41"/>
      <c s="40"/>
      <c s="52"/>
      <c s="138" t="str">
        <f>Picture!E29</f>
        <v>AISLE-LAUNDRY $ Spent in Target Corporate</v>
      </c>
      <c s="139"/>
      <c s="139"/>
      <c s="139"/>
      <c s="139"/>
      <c s="140"/>
      <c s="53"/>
      <c s="125" t="str">
        <f>Picture!L29</f>
        <v>AISLE-LAUNDRY $ Leaked Elsewhere</v>
      </c>
      <c s="126"/>
      <c s="126"/>
      <c s="126"/>
      <c s="126"/>
      <c s="127"/>
      <c s="106"/>
      <c s="100"/>
      <c s="101"/>
      <c s="100"/>
      <c s="125" t="str">
        <f>Picture!V29</f>
        <v>AISLE-LAUNDRY $ Leaked Elsewhere</v>
      </c>
      <c s="126"/>
      <c s="126"/>
      <c s="126"/>
      <c s="126"/>
      <c s="127"/>
      <c s="191"/>
      <c s="129"/>
      <c s="129"/>
      <c s="129"/>
      <c s="129"/>
      <c s="129"/>
      <c s="56"/>
      <c s="50"/>
      <c s="42"/>
      <c r="CA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0" spans="1:138" s="43" customFormat="1" ht="3.75" customHeight="1">
      <c r="A30" s="40"/>
      <c s="41"/>
      <c s="40"/>
      <c s="52"/>
      <c s="52"/>
      <c s="7"/>
      <c s="7"/>
      <c s="7"/>
      <c s="7"/>
      <c s="53"/>
      <c s="53"/>
      <c s="7"/>
      <c s="7"/>
      <c s="9"/>
      <c s="52"/>
      <c s="53"/>
      <c s="53"/>
      <c s="52"/>
      <c s="56"/>
      <c s="56"/>
      <c s="56"/>
      <c s="7"/>
      <c s="9"/>
      <c s="7"/>
      <c s="56"/>
      <c s="58"/>
      <c s="58"/>
      <c s="58"/>
      <c s="56"/>
      <c s="56"/>
      <c s="56"/>
      <c s="56"/>
      <c s="56"/>
      <c s="56"/>
      <c s="50"/>
      <c s="42"/>
      <c r="CA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1" spans="1:138" s="43" customFormat="1" ht="6" customHeight="1">
      <c r="A31" s="40"/>
      <c s="41"/>
      <c s="40"/>
      <c s="40"/>
      <c s="40"/>
      <c s="39"/>
      <c s="45"/>
      <c s="45"/>
      <c s="45"/>
      <c s="39"/>
      <c s="45"/>
      <c s="44"/>
      <c s="44"/>
      <c s="60"/>
      <c s="44"/>
      <c s="45"/>
      <c s="45"/>
      <c s="40"/>
      <c s="109"/>
      <c s="39"/>
      <c s="39"/>
      <c s="39"/>
      <c s="46"/>
      <c s="45"/>
      <c s="44"/>
      <c s="40"/>
      <c s="44"/>
      <c s="44"/>
      <c s="45"/>
      <c s="39"/>
      <c s="45"/>
      <c s="45"/>
      <c s="45"/>
      <c s="39"/>
      <c s="50"/>
      <c s="42"/>
      <c r="CA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2" spans="1:138" s="43" customFormat="1" ht="6" customHeight="1">
      <c r="A32" s="40"/>
      <c s="41"/>
      <c s="40"/>
      <c s="40"/>
      <c s="40"/>
      <c s="13"/>
      <c s="39"/>
      <c s="39"/>
      <c s="39"/>
      <c s="13"/>
      <c s="39"/>
      <c s="40"/>
      <c s="40"/>
      <c s="13"/>
      <c s="40"/>
      <c s="39"/>
      <c s="39"/>
      <c s="14"/>
      <c s="109"/>
      <c s="40"/>
      <c s="40"/>
      <c s="13"/>
      <c s="39"/>
      <c s="39"/>
      <c s="39"/>
      <c s="13"/>
      <c s="39"/>
      <c s="40"/>
      <c s="40"/>
      <c s="13"/>
      <c s="40"/>
      <c s="39"/>
      <c s="39"/>
      <c s="14"/>
      <c s="50"/>
      <c s="42"/>
      <c r="CA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3" spans="1:138" s="43" customFormat="1" ht="12" customHeight="1">
      <c r="A33" s="40"/>
      <c s="41"/>
      <c s="40"/>
      <c s="197" t="str">
        <f>Picture!D33</f>
        <v>23.2% (-2.1pts)</v>
      </c>
      <c s="198"/>
      <c s="199"/>
      <c s="39"/>
      <c s="197" t="str">
        <f>Picture!H33</f>
        <v>16.1% (+0.4pts)</v>
      </c>
      <c s="198"/>
      <c s="199"/>
      <c s="4"/>
      <c s="197" t="str">
        <f>Picture!L33</f>
        <v>15.5% (+2.0pts)</v>
      </c>
      <c s="198"/>
      <c s="199"/>
      <c r="P33" s="197" t="str">
        <f>Picture!P33</f>
        <v>13.9% (-0.7pts)</v>
      </c>
      <c s="198"/>
      <c s="199"/>
      <c s="109"/>
      <c s="181" t="str">
        <f>Picture!T33</f>
        <v>33.8% (-1.8pts)</v>
      </c>
      <c s="182"/>
      <c s="183"/>
      <c s="39"/>
      <c s="181" t="str">
        <f>Picture!X33</f>
        <v>23.6% (+0.4pts)</v>
      </c>
      <c s="182"/>
      <c s="183"/>
      <c s="4"/>
      <c s="181" t="str">
        <f>Picture!AB33</f>
        <v>23.5% (+1.5pts)</v>
      </c>
      <c s="182"/>
      <c s="183"/>
      <c r="AF33" s="181" t="str">
        <f>Picture!AF33</f>
        <v>19.1% (-0.1pts)</v>
      </c>
      <c s="182"/>
      <c s="183"/>
      <c s="50"/>
      <c s="42"/>
      <c r="CA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4" spans="1:138" s="43" customFormat="1" ht="47.25" customHeight="1">
      <c r="A34" s="40"/>
      <c s="41"/>
      <c s="40"/>
      <c s="132" t="str">
        <f>Picture!D34</f>
        <v>AISLE-LAUNDRY $ Leaked to GroceryX ($181.2MM)</v>
      </c>
      <c s="133"/>
      <c s="134"/>
      <c s="39"/>
      <c s="132" t="str">
        <f>Picture!H34</f>
        <v>AISLE-LAUNDRY $ Leaked to Club ($125.4MM)</v>
      </c>
      <c s="133"/>
      <c s="134"/>
      <c s="39"/>
      <c s="132" t="str">
        <f>Picture!L34</f>
        <v>AISLE-LAUNDRY $ Leaked to Walmart Total ($120.7MM)</v>
      </c>
      <c s="133"/>
      <c s="134"/>
      <c r="P34" s="132" t="str">
        <f>Picture!P34</f>
        <v>AISLE-LAUNDRY $ Leaked to Other Channels ($108.8MM)</v>
      </c>
      <c s="133"/>
      <c s="134"/>
      <c s="109"/>
      <c s="135" t="str">
        <f>Picture!T34</f>
        <v>AISLE-LAUNDRY $ Leaked to GroceryX ($610.4MM)</v>
      </c>
      <c s="136"/>
      <c s="137"/>
      <c s="39"/>
      <c s="135" t="str">
        <f>Picture!X34</f>
        <v>AISLE-LAUNDRY $ Leaked to Club ($425.4MM)</v>
      </c>
      <c s="136"/>
      <c s="137"/>
      <c s="39"/>
      <c s="135" t="str">
        <f>Picture!AB34</f>
        <v>AISLE-LAUNDRY $ Leaked to Walmart Total ($425.0MM)</v>
      </c>
      <c s="136"/>
      <c s="137"/>
      <c r="AF34" s="135" t="str">
        <f>Picture!AF34</f>
        <v>AISLE-LAUNDRY $ Leaked to Other Channels ($344.6MM)</v>
      </c>
      <c s="136"/>
      <c s="137"/>
      <c s="50"/>
      <c s="42"/>
      <c r="AL34" s="111"/>
      <c r="CA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5" spans="1:138" s="43" customFormat="1" ht="7.5" customHeight="1">
      <c r="A35" s="40"/>
      <c s="41"/>
      <c s="40"/>
      <c s="40"/>
      <c s="40"/>
      <c s="39"/>
      <c s="39"/>
      <c s="39"/>
      <c s="39"/>
      <c s="39"/>
      <c s="39"/>
      <c s="40"/>
      <c s="40"/>
      <c s="40"/>
      <c s="40"/>
      <c s="39"/>
      <c s="39"/>
      <c s="40"/>
      <c s="109"/>
      <c s="40"/>
      <c s="40"/>
      <c s="39"/>
      <c s="39"/>
      <c s="39"/>
      <c s="39"/>
      <c s="39"/>
      <c s="39"/>
      <c s="40"/>
      <c s="40"/>
      <c s="40"/>
      <c s="40"/>
      <c s="39"/>
      <c s="39"/>
      <c s="40"/>
      <c s="50"/>
      <c s="42"/>
      <c r="AL35" s="103"/>
      <c r="CA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6" spans="1:138" s="43" customFormat="1" ht="11.25" customHeight="1">
      <c r="A36" s="40"/>
      <c s="41"/>
      <c s="40"/>
      <c s="88" t="str">
        <f>Picture!D36</f>
        <v>2.9%</v>
      </c>
      <c s="131" t="str">
        <f>Picture!E36</f>
        <v>Kroger</v>
      </c>
      <c s="131"/>
      <c s="16"/>
      <c s="88" t="str">
        <f>Picture!H36</f>
        <v>8.1%</v>
      </c>
      <c s="131" t="str">
        <f>Picture!I36</f>
        <v>Costco</v>
      </c>
      <c s="131"/>
      <c s="17"/>
      <c s="88" t="str">
        <f>Picture!L36</f>
        <v>12.1%</v>
      </c>
      <c s="131" t="str">
        <f>Picture!M36</f>
        <v>Walmart Supercenter</v>
      </c>
      <c s="131"/>
      <c s="17"/>
      <c s="88" t="str">
        <f>Picture!P36</f>
        <v>3.3%</v>
      </c>
      <c s="131" t="str">
        <f>Picture!Q36</f>
        <v>CVS</v>
      </c>
      <c s="131"/>
      <c s="61"/>
      <c s="88" t="str">
        <f>Picture!T36</f>
        <v>4.6%</v>
      </c>
      <c s="131" t="str">
        <f>Picture!U36</f>
        <v>Kroger</v>
      </c>
      <c s="131"/>
      <c s="16"/>
      <c s="88" t="str">
        <f>Picture!X36</f>
        <v>10.8%</v>
      </c>
      <c s="131" t="str">
        <f>Picture!Y36</f>
        <v>Costco</v>
      </c>
      <c s="131"/>
      <c s="18"/>
      <c s="88" t="str">
        <f>Picture!AB36</f>
        <v>19.6%</v>
      </c>
      <c s="131" t="str">
        <f>Picture!AC36</f>
        <v>Walmart Supercenter</v>
      </c>
      <c s="131"/>
      <c s="18"/>
      <c s="88" t="str">
        <f>Picture!AF36</f>
        <v>2.7%</v>
      </c>
      <c s="131" t="str">
        <f>Picture!AG36</f>
        <v>CVS</v>
      </c>
      <c s="131"/>
      <c s="50"/>
      <c s="42"/>
      <c r="AL36" s="104"/>
      <c r="CA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7" spans="1:138" s="43" customFormat="1" ht="11.25" customHeight="1">
      <c r="A37" s="40"/>
      <c s="41"/>
      <c s="40"/>
      <c s="86" t="str">
        <f>Picture!D37</f>
        <v>+0.3pts</v>
      </c>
      <c s="131"/>
      <c s="131"/>
      <c s="16"/>
      <c s="86" t="str">
        <f>Picture!H37</f>
        <v>+0.3pts</v>
      </c>
      <c s="131"/>
      <c s="131"/>
      <c s="17"/>
      <c s="86" t="str">
        <f>Picture!L37</f>
        <v>+1.4pts</v>
      </c>
      <c s="131"/>
      <c s="131"/>
      <c s="17"/>
      <c s="86" t="str">
        <f>Picture!P37</f>
        <v>-0.6pts</v>
      </c>
      <c s="131"/>
      <c s="131"/>
      <c s="61"/>
      <c s="86" t="str">
        <f>Picture!T37</f>
        <v>+0.3pts</v>
      </c>
      <c s="131"/>
      <c s="131"/>
      <c s="16"/>
      <c s="86" t="str">
        <f>Picture!X37</f>
        <v>+0.0pts</v>
      </c>
      <c s="131"/>
      <c s="131"/>
      <c s="18"/>
      <c s="86" t="str">
        <f>Picture!AB37</f>
        <v>+0.7pts</v>
      </c>
      <c s="131"/>
      <c s="131"/>
      <c s="18"/>
      <c s="86" t="str">
        <f>Picture!AF37</f>
        <v>-0.2pts</v>
      </c>
      <c s="131"/>
      <c s="131"/>
      <c s="50"/>
      <c s="42"/>
      <c r="AL37" s="104"/>
      <c r="CA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38" spans="1:138" s="43" customFormat="1" ht="11.25" customHeight="1">
      <c r="A38" s="40"/>
      <c s="41"/>
      <c s="40"/>
      <c s="87" t="str">
        <f>Picture!D38</f>
        <v>$22.9MM</v>
      </c>
      <c s="131"/>
      <c s="131"/>
      <c s="16"/>
      <c s="87" t="str">
        <f>Picture!H38</f>
        <v>$63.1MM</v>
      </c>
      <c s="131"/>
      <c s="131"/>
      <c s="17"/>
      <c s="87" t="str">
        <f>Picture!L38</f>
        <v>$94.7MM</v>
      </c>
      <c s="131"/>
      <c s="131"/>
      <c s="17"/>
      <c s="87" t="str">
        <f>Picture!P38</f>
        <v>$25.8MM</v>
      </c>
      <c s="131"/>
      <c s="131"/>
      <c s="61"/>
      <c s="87" t="str">
        <f>Picture!T38</f>
        <v>$83.2MM</v>
      </c>
      <c s="131"/>
      <c s="131"/>
      <c s="16"/>
      <c s="87" t="str">
        <f>Picture!X38</f>
        <v>$194.2MM</v>
      </c>
      <c s="131"/>
      <c s="131"/>
      <c s="18"/>
      <c s="87" t="str">
        <f>Picture!AB38</f>
        <v>$353.3MM</v>
      </c>
      <c s="131"/>
      <c s="131"/>
      <c s="18"/>
      <c s="87" t="str">
        <f>Picture!AF38</f>
        <v>$49.5MM</v>
      </c>
      <c s="131"/>
      <c s="131"/>
      <c s="50"/>
      <c s="42"/>
      <c r="AL38" s="84"/>
      <c r="CA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39" spans="1:138" s="43" customFormat="1" ht="11.25" customHeight="1">
      <c r="A39" s="40"/>
      <c s="41"/>
      <c s="40"/>
      <c s="88" t="str">
        <f>Picture!D39</f>
        <v>2.0%</v>
      </c>
      <c s="131" t="str">
        <f>Picture!E39</f>
        <v>Publix</v>
      </c>
      <c s="131"/>
      <c s="16"/>
      <c s="88" t="str">
        <f>Picture!H39</f>
        <v>5.0%</v>
      </c>
      <c s="131" t="str">
        <f>Picture!I39</f>
        <v>Sams Club</v>
      </c>
      <c s="131"/>
      <c s="17"/>
      <c s="88" t="str">
        <f>Picture!L39</f>
        <v>2.5%</v>
      </c>
      <c s="131" t="str">
        <f>Picture!M39</f>
        <v>Walmart Division 1</v>
      </c>
      <c s="131"/>
      <c s="17"/>
      <c s="88" t="str">
        <f>Picture!P39</f>
        <v>1.8%</v>
      </c>
      <c s="131" t="str">
        <f>Picture!Q39</f>
        <v>Walgreens</v>
      </c>
      <c s="131"/>
      <c s="61"/>
      <c s="88" t="str">
        <f>Picture!T39</f>
        <v>2.8%</v>
      </c>
      <c s="131" t="str">
        <f>Picture!U39</f>
        <v>Shop Rite</v>
      </c>
      <c s="131"/>
      <c s="16"/>
      <c s="88" t="str">
        <f>Picture!X39</f>
        <v>8.6%</v>
      </c>
      <c s="131" t="str">
        <f>Picture!Y39</f>
        <v>Sams Club</v>
      </c>
      <c s="131"/>
      <c s="18"/>
      <c s="88" t="str">
        <f>Picture!AB39</f>
        <v>2.8%</v>
      </c>
      <c s="131" t="str">
        <f>Picture!AC39</f>
        <v>Walmart Division 1</v>
      </c>
      <c s="131"/>
      <c s="18"/>
      <c s="88" t="str">
        <f>Picture!AF39</f>
        <v>2.5%</v>
      </c>
      <c s="131" t="str">
        <f>Picture!AG39</f>
        <v>Doll Gen / Doll Gen Mkt</v>
      </c>
      <c s="131"/>
      <c s="50"/>
      <c s="42"/>
      <c r="CA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0" spans="1:138" s="43" customFormat="1" ht="11.25" customHeight="1">
      <c r="A40" s="40"/>
      <c s="41"/>
      <c s="40"/>
      <c s="86" t="str">
        <f>Picture!D40</f>
        <v>+0.0pts</v>
      </c>
      <c s="131"/>
      <c s="131"/>
      <c s="16"/>
      <c s="86" t="str">
        <f>Picture!H40</f>
        <v>-0.6pts</v>
      </c>
      <c s="131"/>
      <c s="131"/>
      <c s="17"/>
      <c s="86" t="str">
        <f>Picture!L40</f>
        <v>+0.3pts</v>
      </c>
      <c s="131"/>
      <c s="131"/>
      <c s="17"/>
      <c s="86" t="str">
        <f>Picture!P40</f>
        <v>-0.3pts</v>
      </c>
      <c s="131"/>
      <c s="131"/>
      <c s="61"/>
      <c s="86" t="str">
        <f>Picture!T40</f>
        <v>-0.4pts</v>
      </c>
      <c s="131"/>
      <c s="131"/>
      <c s="16"/>
      <c s="86" t="str">
        <f>Picture!X40</f>
        <v>+0.1pts</v>
      </c>
      <c s="131"/>
      <c s="131"/>
      <c s="18"/>
      <c s="86" t="str">
        <f>Picture!AB40</f>
        <v>+0.6pts</v>
      </c>
      <c s="131"/>
      <c s="131"/>
      <c s="18"/>
      <c s="86" t="str">
        <f>Picture!AF40</f>
        <v>-0.1pts</v>
      </c>
      <c s="131"/>
      <c s="131"/>
      <c s="50"/>
      <c s="42"/>
      <c r="CA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1" spans="1:138" s="43" customFormat="1" ht="11.25" customHeight="1">
      <c r="A41" s="40"/>
      <c s="41"/>
      <c s="40"/>
      <c s="87" t="str">
        <f>Picture!D41</f>
        <v>$15.4MM</v>
      </c>
      <c s="131"/>
      <c s="131"/>
      <c s="16"/>
      <c s="87" t="str">
        <f>Picture!H41</f>
        <v>$38.8MM</v>
      </c>
      <c s="131"/>
      <c s="131"/>
      <c s="17"/>
      <c s="87" t="str">
        <f>Picture!L41</f>
        <v>$19.7MM</v>
      </c>
      <c s="131"/>
      <c s="131"/>
      <c s="17"/>
      <c s="87" t="str">
        <f>Picture!P41</f>
        <v>$14.2MM</v>
      </c>
      <c s="131"/>
      <c s="131"/>
      <c s="61"/>
      <c s="87" t="str">
        <f>Picture!T41</f>
        <v>$49.9MM</v>
      </c>
      <c s="131"/>
      <c s="131"/>
      <c s="16"/>
      <c s="87" t="str">
        <f>Picture!X41</f>
        <v>$155.7MM</v>
      </c>
      <c s="131"/>
      <c s="131"/>
      <c s="18"/>
      <c s="87" t="str">
        <f>Picture!AB41</f>
        <v>$51.4MM</v>
      </c>
      <c s="131"/>
      <c s="131"/>
      <c s="18"/>
      <c s="87" t="str">
        <f>Picture!AF41</f>
        <v>$44.8MM</v>
      </c>
      <c s="131"/>
      <c s="131"/>
      <c s="50"/>
      <c s="42"/>
      <c r="CA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2" spans="1:138" s="43" customFormat="1" ht="11.25" customHeight="1">
      <c r="A42" s="40"/>
      <c s="41"/>
      <c s="40"/>
      <c s="88" t="str">
        <f>Picture!D42</f>
        <v>1.1%</v>
      </c>
      <c s="131" t="str">
        <f>Picture!E42</f>
        <v>Shop Rite</v>
      </c>
      <c s="131"/>
      <c s="16"/>
      <c s="88" t="str">
        <f>Picture!H42</f>
        <v>2.9%</v>
      </c>
      <c s="131" t="str">
        <f>Picture!I42</f>
        <v>BJs Wholesale</v>
      </c>
      <c s="131"/>
      <c s="17"/>
      <c s="88" t="str">
        <f>Picture!L42</f>
        <v>0.8%</v>
      </c>
      <c s="131" t="str">
        <f>Picture!M42</f>
        <v>Walmart Neighborhood Market</v>
      </c>
      <c s="131"/>
      <c s="17"/>
      <c s="88" t="str">
        <f>Picture!P42</f>
        <v>1.4%</v>
      </c>
      <c s="131" t="str">
        <f>Picture!Q42</f>
        <v>Doll Gen / Doll Gen Mkt</v>
      </c>
      <c s="131"/>
      <c s="61"/>
      <c s="88" t="str">
        <f>Picture!T42</f>
        <v>2.2%</v>
      </c>
      <c s="131" t="str">
        <f>Picture!U42</f>
        <v>Meijer</v>
      </c>
      <c s="131"/>
      <c s="16"/>
      <c s="88" t="str">
        <f>Picture!X42</f>
        <v>4.1%</v>
      </c>
      <c s="131" t="str">
        <f>Picture!Y42</f>
        <v>BJs Wholesale</v>
      </c>
      <c s="131"/>
      <c s="18"/>
      <c s="88" t="str">
        <f>Picture!AB42</f>
        <v>1.1%</v>
      </c>
      <c s="131" t="str">
        <f>Picture!AC42</f>
        <v>Walmart Neighborhood Market</v>
      </c>
      <c s="131"/>
      <c s="18"/>
      <c s="88" t="str">
        <f>Picture!AF42</f>
        <v>2.1%</v>
      </c>
      <c s="131" t="str">
        <f>Picture!AG42</f>
        <v>Walgreens</v>
      </c>
      <c s="131"/>
      <c s="50"/>
      <c s="42"/>
      <c r="CA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3" spans="1:138" s="43" customFormat="1" ht="11.25" customHeight="1">
      <c r="A43" s="40"/>
      <c s="41"/>
      <c s="40"/>
      <c s="86" t="str">
        <f>Picture!D43</f>
        <v>-0.2pts</v>
      </c>
      <c s="131"/>
      <c s="131"/>
      <c s="16"/>
      <c s="86" t="str">
        <f>Picture!H43</f>
        <v>+0.7pts</v>
      </c>
      <c s="131"/>
      <c s="131"/>
      <c s="17"/>
      <c s="86" t="str">
        <f>Picture!L43</f>
        <v>+0.3pts</v>
      </c>
      <c s="131"/>
      <c s="131"/>
      <c s="17"/>
      <c s="86" t="str">
        <f>Picture!P43</f>
        <v>+0.0pts</v>
      </c>
      <c s="131"/>
      <c s="131"/>
      <c s="61"/>
      <c s="86" t="str">
        <f>Picture!T43</f>
        <v>+0.2pts</v>
      </c>
      <c s="131"/>
      <c s="131"/>
      <c s="16"/>
      <c s="86" t="str">
        <f>Picture!X43</f>
        <v>+0.3pts</v>
      </c>
      <c s="131"/>
      <c s="131"/>
      <c s="18"/>
      <c s="86" t="str">
        <f>Picture!AB43</f>
        <v>+0.3pts</v>
      </c>
      <c s="131"/>
      <c s="131"/>
      <c s="18"/>
      <c s="86" t="str">
        <f>Picture!AF43</f>
        <v>+0.2pts</v>
      </c>
      <c s="131"/>
      <c s="131"/>
      <c s="50"/>
      <c s="42"/>
      <c r="CA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4" spans="1:138" s="43" customFormat="1" ht="11.25" customHeight="1">
      <c r="A44" s="40"/>
      <c s="41"/>
      <c s="40"/>
      <c s="87" t="str">
        <f>Picture!D44</f>
        <v>$8.9MM</v>
      </c>
      <c s="131"/>
      <c s="131"/>
      <c s="16"/>
      <c s="87" t="str">
        <f>Picture!H44</f>
        <v>$22.7MM</v>
      </c>
      <c s="131"/>
      <c s="131"/>
      <c s="17"/>
      <c s="87" t="str">
        <f>Picture!L44</f>
        <v>$6.3MM</v>
      </c>
      <c s="131"/>
      <c s="131"/>
      <c s="17"/>
      <c s="87" t="str">
        <f>Picture!P44</f>
        <v>$11.3MM</v>
      </c>
      <c s="131"/>
      <c s="131"/>
      <c s="61"/>
      <c s="87" t="str">
        <f>Picture!T44</f>
        <v>$40.0MM</v>
      </c>
      <c s="131"/>
      <c s="131"/>
      <c s="16"/>
      <c s="87" t="str">
        <f>Picture!X44</f>
        <v>$74.1MM</v>
      </c>
      <c s="131"/>
      <c s="131"/>
      <c s="18"/>
      <c s="87" t="str">
        <f>Picture!AB44</f>
        <v>$20.3MM</v>
      </c>
      <c s="131"/>
      <c s="131"/>
      <c s="18"/>
      <c s="87" t="str">
        <f>Picture!AF44</f>
        <v>$38.6MM</v>
      </c>
      <c s="131"/>
      <c s="131"/>
      <c s="50"/>
      <c s="42"/>
      <c r="CA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5" spans="1:138" s="43" customFormat="1" ht="11.25" customHeight="1">
      <c r="A45" s="40"/>
      <c s="41"/>
      <c s="40"/>
      <c s="88" t="str">
        <f>Picture!D45</f>
        <v>0.9%</v>
      </c>
      <c s="131" t="str">
        <f>Picture!E45</f>
        <v>Meijer</v>
      </c>
      <c s="131"/>
      <c s="16"/>
      <c s="88">
        <f>Picture!H45</f>
      </c>
      <c s="131">
        <f>Picture!I45</f>
      </c>
      <c s="131"/>
      <c s="17"/>
      <c s="88">
        <f>Picture!L45</f>
      </c>
      <c s="131">
        <f>Picture!M45</f>
      </c>
      <c s="131"/>
      <c s="17"/>
      <c s="88" t="str">
        <f>Picture!P45</f>
        <v>1.0%</v>
      </c>
      <c s="131" t="str">
        <f>Picture!Q45</f>
        <v>Family Dollar</v>
      </c>
      <c s="131"/>
      <c s="61"/>
      <c s="88" t="str">
        <f>Picture!T45</f>
        <v>2.0%</v>
      </c>
      <c s="131" t="str">
        <f>Picture!U45</f>
        <v>Publix</v>
      </c>
      <c s="131"/>
      <c s="16"/>
      <c s="88">
        <f>Picture!X45</f>
      </c>
      <c s="131">
        <f>Picture!Y45</f>
      </c>
      <c s="131"/>
      <c s="18"/>
      <c s="88">
        <f>Picture!AB45</f>
      </c>
      <c s="131">
        <f>Picture!AC45</f>
      </c>
      <c s="131"/>
      <c s="18"/>
      <c s="88" t="str">
        <f>Picture!AF45</f>
        <v>1.8%</v>
      </c>
      <c s="131" t="str">
        <f>Picture!AG45</f>
        <v>Family Dollar</v>
      </c>
      <c s="131"/>
      <c s="50"/>
      <c s="42"/>
      <c r="CA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6" spans="1:138" s="43" customFormat="1" ht="11.25" customHeight="1">
      <c r="A46" s="40"/>
      <c s="41"/>
      <c s="40"/>
      <c s="86" t="str">
        <f>Picture!D46</f>
        <v>-0.1pts</v>
      </c>
      <c s="131"/>
      <c s="131"/>
      <c s="16"/>
      <c s="86">
        <f>Picture!H46</f>
      </c>
      <c s="131"/>
      <c s="131"/>
      <c s="17"/>
      <c s="86">
        <f>Picture!L46</f>
      </c>
      <c s="131"/>
      <c s="131"/>
      <c s="17"/>
      <c s="86" t="str">
        <f>Picture!P46</f>
        <v>+0.0pts</v>
      </c>
      <c s="131"/>
      <c s="131"/>
      <c s="61"/>
      <c s="86" t="str">
        <f>Picture!T46</f>
        <v>-0.4pts</v>
      </c>
      <c s="131"/>
      <c s="131"/>
      <c s="16"/>
      <c s="86">
        <f>Picture!X46</f>
      </c>
      <c s="131"/>
      <c s="131"/>
      <c s="18"/>
      <c s="86">
        <f>Picture!AB46</f>
      </c>
      <c s="131"/>
      <c s="131"/>
      <c s="18"/>
      <c s="86" t="str">
        <f>Picture!AF46</f>
        <v>+0.1pts</v>
      </c>
      <c s="131"/>
      <c s="131"/>
      <c s="50"/>
      <c s="42"/>
      <c r="CA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7" spans="1:138" s="43" customFormat="1" ht="11.25" customHeight="1">
      <c r="A47" s="40"/>
      <c s="41"/>
      <c s="40"/>
      <c s="87" t="str">
        <f>Picture!D47</f>
        <v>$7.4MM</v>
      </c>
      <c s="131"/>
      <c s="131"/>
      <c s="16"/>
      <c s="87">
        <f>Picture!H47</f>
      </c>
      <c s="131"/>
      <c s="131"/>
      <c s="17"/>
      <c s="87">
        <f>Picture!L47</f>
      </c>
      <c s="131"/>
      <c s="131"/>
      <c s="17"/>
      <c s="87" t="str">
        <f>Picture!P47</f>
        <v>$7.6MM</v>
      </c>
      <c s="131"/>
      <c s="131"/>
      <c s="61"/>
      <c s="87" t="str">
        <f>Picture!T47</f>
        <v>$36.9MM</v>
      </c>
      <c s="131"/>
      <c s="131"/>
      <c s="16"/>
      <c s="87">
        <f>Picture!X47</f>
      </c>
      <c s="131"/>
      <c s="131"/>
      <c s="18"/>
      <c s="87">
        <f>Picture!AB47</f>
      </c>
      <c s="131"/>
      <c s="131"/>
      <c s="18"/>
      <c s="87" t="str">
        <f>Picture!AF47</f>
        <v>$32.8MM</v>
      </c>
      <c s="131"/>
      <c s="131"/>
      <c s="50"/>
      <c s="42"/>
      <c r="CA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48" spans="1:138" s="43" customFormat="1" ht="11.25" customHeight="1">
      <c r="A48" s="40"/>
      <c s="41"/>
      <c s="40"/>
      <c s="88" t="str">
        <f>Picture!D48</f>
        <v>0.7%</v>
      </c>
      <c s="131" t="str">
        <f>Picture!E48</f>
        <v>Safeway</v>
      </c>
      <c s="131"/>
      <c s="16"/>
      <c s="88">
        <f>Picture!H48</f>
      </c>
      <c s="131">
        <f>Picture!I48</f>
      </c>
      <c s="131"/>
      <c s="17"/>
      <c s="88">
        <f>Picture!L48</f>
      </c>
      <c s="131">
        <f>Picture!M48</f>
      </c>
      <c s="131"/>
      <c s="17"/>
      <c s="88" t="str">
        <f>Picture!P48</f>
        <v>0.8%</v>
      </c>
      <c s="131" t="str">
        <f>Picture!Q48</f>
        <v>Rite Aid</v>
      </c>
      <c s="131"/>
      <c s="61"/>
      <c s="88" t="str">
        <f>Picture!T48</f>
        <v>1.6%</v>
      </c>
      <c s="131" t="str">
        <f>Picture!U48</f>
        <v>HEB</v>
      </c>
      <c s="131"/>
      <c s="16"/>
      <c s="88">
        <f>Picture!X48</f>
      </c>
      <c s="131">
        <f>Picture!Y48</f>
      </c>
      <c s="131"/>
      <c s="18"/>
      <c s="88">
        <f>Picture!AB48</f>
      </c>
      <c s="131">
        <f>Picture!AC48</f>
      </c>
      <c s="131"/>
      <c s="18"/>
      <c s="88" t="str">
        <f>Picture!AF48</f>
        <v>1.4%</v>
      </c>
      <c s="131" t="str">
        <f>Picture!AG48</f>
        <v>Dollar Tree</v>
      </c>
      <c s="131"/>
      <c s="50"/>
      <c s="42"/>
      <c r="CA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49" spans="1:138" s="43" customFormat="1" ht="11.25" customHeight="1">
      <c r="A49" s="40"/>
      <c s="41"/>
      <c s="40"/>
      <c s="86" t="str">
        <f>Picture!D49</f>
        <v>-0.3pts</v>
      </c>
      <c s="131"/>
      <c s="131"/>
      <c s="16"/>
      <c s="86">
        <f>Picture!H49</f>
      </c>
      <c s="131"/>
      <c s="131"/>
      <c s="17"/>
      <c s="86">
        <f>Picture!L49</f>
      </c>
      <c s="131"/>
      <c s="131"/>
      <c s="17"/>
      <c s="86" t="str">
        <f>Picture!P49</f>
        <v>0.0pts</v>
      </c>
      <c s="131"/>
      <c s="131"/>
      <c s="61"/>
      <c s="86" t="str">
        <f>Picture!T49</f>
        <v>+0.4pts</v>
      </c>
      <c s="131"/>
      <c s="131"/>
      <c s="16"/>
      <c s="86">
        <f>Picture!X49</f>
      </c>
      <c s="131"/>
      <c s="131"/>
      <c s="18"/>
      <c s="86">
        <f>Picture!AB49</f>
      </c>
      <c s="131"/>
      <c s="131"/>
      <c s="18"/>
      <c s="86" t="str">
        <f>Picture!AF49</f>
        <v>-0.1pts</v>
      </c>
      <c s="131"/>
      <c s="131"/>
      <c s="50"/>
      <c s="42"/>
      <c r="CA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0" spans="1:138" s="43" customFormat="1" ht="11.25" customHeight="1">
      <c r="A50" s="40"/>
      <c s="41"/>
      <c s="40"/>
      <c s="87" t="str">
        <f>Picture!D50</f>
        <v>$5.6MM</v>
      </c>
      <c s="131"/>
      <c s="131"/>
      <c s="16"/>
      <c s="87">
        <f>Picture!H50</f>
      </c>
      <c s="131"/>
      <c s="131"/>
      <c s="17"/>
      <c s="87">
        <f>Picture!L50</f>
      </c>
      <c s="131"/>
      <c s="131"/>
      <c s="17"/>
      <c s="87" t="str">
        <f>Picture!P50</f>
        <v>$6.2MM</v>
      </c>
      <c s="131"/>
      <c s="131"/>
      <c s="61"/>
      <c s="87" t="str">
        <f>Picture!T50</f>
        <v>$29.6MM</v>
      </c>
      <c s="131"/>
      <c s="131"/>
      <c s="16"/>
      <c s="87">
        <f>Picture!X50</f>
      </c>
      <c s="131"/>
      <c s="131"/>
      <c s="18"/>
      <c s="87">
        <f>Picture!AB50</f>
      </c>
      <c s="131"/>
      <c s="131"/>
      <c s="18"/>
      <c s="87" t="str">
        <f>Picture!AF50</f>
        <v>$26.0MM</v>
      </c>
      <c s="131"/>
      <c s="131"/>
      <c s="50"/>
      <c s="42"/>
      <c r="CA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51" spans="1:138" s="43" customFormat="1" ht="11.25" customHeight="1">
      <c r="A51" s="40"/>
      <c s="41"/>
      <c s="40"/>
      <c s="88" t="str">
        <f>Picture!D51</f>
        <v>0.7%</v>
      </c>
      <c s="131" t="str">
        <f>Picture!E51</f>
        <v>HEB</v>
      </c>
      <c s="131"/>
      <c s="16"/>
      <c s="88">
        <f>Picture!H51</f>
      </c>
      <c s="131">
        <f>Picture!I51</f>
      </c>
      <c s="131"/>
      <c s="17"/>
      <c s="88">
        <f>Picture!L51</f>
      </c>
      <c s="131">
        <f>Picture!M51</f>
      </c>
      <c s="131"/>
      <c s="17"/>
      <c s="88" t="str">
        <f>Picture!P51</f>
        <v>0.8%</v>
      </c>
      <c s="131" t="str">
        <f>Picture!Q51</f>
        <v>Big Lots</v>
      </c>
      <c s="131"/>
      <c s="61"/>
      <c s="88" t="str">
        <f>Picture!T51</f>
        <v>1.1%</v>
      </c>
      <c s="131" t="str">
        <f>Picture!U51</f>
        <v>Stop &amp; Shop</v>
      </c>
      <c s="131"/>
      <c s="16"/>
      <c s="88">
        <f>Picture!X51</f>
      </c>
      <c s="131">
        <f>Picture!Y51</f>
      </c>
      <c s="131"/>
      <c s="18"/>
      <c s="88">
        <f>Picture!AB51</f>
      </c>
      <c s="131">
        <f>Picture!AC51</f>
      </c>
      <c s="131"/>
      <c s="18"/>
      <c s="88" t="str">
        <f>Picture!AF51</f>
        <v>1.3%</v>
      </c>
      <c s="131" t="str">
        <f>Picture!AG51</f>
        <v>DeCA Commissary</v>
      </c>
      <c s="131"/>
      <c s="50"/>
      <c s="42"/>
      <c r="CA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2" spans="1:138" s="43" customFormat="1" ht="11.25" customHeight="1">
      <c r="A52" s="40"/>
      <c s="41"/>
      <c s="40"/>
      <c s="86" t="str">
        <f>Picture!D52</f>
        <v>-0.3pts</v>
      </c>
      <c s="131"/>
      <c s="131"/>
      <c s="16"/>
      <c s="86">
        <f>Picture!H52</f>
      </c>
      <c s="131"/>
      <c s="131"/>
      <c s="17"/>
      <c s="86">
        <f>Picture!L52</f>
      </c>
      <c s="131"/>
      <c s="131"/>
      <c s="17"/>
      <c s="86" t="str">
        <f>Picture!P52</f>
        <v>+0.1pts</v>
      </c>
      <c s="131"/>
      <c s="131"/>
      <c s="61"/>
      <c s="86" t="str">
        <f>Picture!T52</f>
        <v>-0.2pts</v>
      </c>
      <c s="131"/>
      <c s="131"/>
      <c s="16"/>
      <c s="86">
        <f>Picture!X52</f>
      </c>
      <c s="131"/>
      <c s="131"/>
      <c s="18"/>
      <c s="86">
        <f>Picture!AB52</f>
      </c>
      <c s="131"/>
      <c s="131"/>
      <c s="18"/>
      <c s="86" t="str">
        <f>Picture!AF52</f>
        <v>0.0pts</v>
      </c>
      <c s="131"/>
      <c s="131"/>
      <c s="50"/>
      <c s="42"/>
      <c r="CA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3" spans="1:138" s="43" customFormat="1" ht="11.25" customHeight="1">
      <c r="A53" s="40"/>
      <c s="41"/>
      <c s="40"/>
      <c s="87" t="str">
        <f>Picture!D53</f>
        <v>$5.6MM</v>
      </c>
      <c s="131"/>
      <c s="131"/>
      <c s="16"/>
      <c s="87">
        <f>Picture!H53</f>
      </c>
      <c s="131"/>
      <c s="131"/>
      <c s="17"/>
      <c s="87">
        <f>Picture!L53</f>
      </c>
      <c s="131"/>
      <c s="131"/>
      <c s="17"/>
      <c s="87" t="str">
        <f>Picture!P53</f>
        <v>$6.0MM</v>
      </c>
      <c s="131"/>
      <c s="131"/>
      <c s="61"/>
      <c s="87" t="str">
        <f>Picture!T53</f>
        <v>$19.4MM</v>
      </c>
      <c s="131"/>
      <c s="131"/>
      <c s="16"/>
      <c s="87">
        <f>Picture!X53</f>
      </c>
      <c s="131"/>
      <c s="131"/>
      <c s="18"/>
      <c s="87">
        <f>Picture!AB53</f>
      </c>
      <c s="131"/>
      <c s="131"/>
      <c s="18"/>
      <c s="87" t="str">
        <f>Picture!AF53</f>
        <v>$23.0MM</v>
      </c>
      <c s="131"/>
      <c s="131"/>
      <c s="50"/>
      <c s="42"/>
      <c r="CA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row>
    <row r="54" spans="1:138" ht="7.5" customHeight="1">
      <c r="A54" s="21"/>
      <c s="25"/>
      <c s="21"/>
      <c s="21"/>
      <c s="21"/>
      <c s="21"/>
      <c s="21"/>
      <c s="21"/>
      <c s="21"/>
      <c s="21"/>
      <c s="21"/>
      <c s="21"/>
      <c s="21"/>
      <c s="21"/>
      <c s="21"/>
      <c s="21"/>
      <c s="21"/>
      <c s="21"/>
      <c r="AI54" s="50"/>
      <c s="26"/>
      <c r="CA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5" spans="1:138" ht="1.5" customHeight="1">
      <c r="A55" s="21"/>
      <c s="62"/>
      <c s="63"/>
      <c s="63"/>
      <c s="63"/>
      <c s="63"/>
      <c s="63"/>
      <c s="63"/>
      <c s="63"/>
      <c s="63"/>
      <c s="63"/>
      <c s="63"/>
      <c s="63"/>
      <c s="63"/>
      <c s="63"/>
      <c s="63"/>
      <c s="63"/>
      <c s="63"/>
      <c s="63"/>
      <c s="63"/>
      <c s="63"/>
      <c s="63"/>
      <c s="63"/>
      <c s="63"/>
      <c s="63"/>
      <c s="63"/>
      <c s="63"/>
      <c s="63"/>
      <c s="63"/>
      <c s="63"/>
      <c s="63"/>
      <c s="63"/>
      <c s="63"/>
      <c s="63"/>
      <c s="63"/>
      <c s="64"/>
      <c r="CA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6" spans="79:138" ht="15">
      <c r="CA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7" spans="3:138" ht="15">
      <c r="C57" s="130" t="s">
        <v>52</v>
      </c>
      <c s="130"/>
      <c s="130"/>
      <c s="130"/>
      <c s="130"/>
      <c s="130"/>
      <c s="130"/>
      <c s="130"/>
      <c s="130"/>
      <c s="130"/>
      <c s="130"/>
      <c s="130"/>
      <c s="130"/>
      <c s="130"/>
      <c s="130"/>
      <c s="130"/>
      <c s="130"/>
      <c s="130"/>
      <c s="130"/>
      <c s="130"/>
      <c s="130"/>
      <c s="130"/>
      <c s="130"/>
      <c s="130"/>
      <c s="130"/>
      <c s="130"/>
      <c s="130"/>
      <c s="130"/>
      <c s="130"/>
      <c s="130"/>
      <c s="130"/>
      <c s="130"/>
      <c s="130"/>
      <c r="CA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8" spans="79:138" ht="15">
      <c r="CA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59" spans="4:138" ht="15">
      <c r="D59" s="79"/>
      <c r="CA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0" spans="4:138" ht="15">
      <c r="D60" s="78"/>
      <c r="CA6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1" spans="4:138" ht="15">
      <c r="D61" s="78"/>
      <c r="CA6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2" spans="79:138" ht="15">
      <c r="CA6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3" spans="79:138" ht="15">
      <c r="CA6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4" spans="79:138" ht="15">
      <c r="CA6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5" spans="79:138" ht="15">
      <c r="CA6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6" spans="79:138" ht="15">
      <c r="CA6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7" spans="79:138" ht="15">
      <c r="CA6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8" spans="79:138" ht="15">
      <c r="CA6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69" spans="79:138" ht="15">
      <c r="CA6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0" spans="79:138" ht="15">
      <c r="CA7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1" spans="79:138" ht="15">
      <c r="CA7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2" spans="79:138" ht="15">
      <c r="CA7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3" spans="79:138" ht="15">
      <c r="CA7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4" spans="79:138" ht="15">
      <c r="CA7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5" spans="79:138" ht="15">
      <c r="CA7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6" spans="79:138" ht="15">
      <c r="CA7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7" spans="79:138" ht="15">
      <c r="CA7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8" spans="79:138" ht="15">
      <c r="CA7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79" spans="79:138" ht="15">
      <c r="CA7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0" spans="79:138" ht="15">
      <c r="CA8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1" spans="79:138" ht="15">
      <c r="CA8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2" spans="79:138" ht="15">
      <c r="CA8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3" spans="79:138" ht="15">
      <c r="CA8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4" spans="79:138" ht="15">
      <c r="CA8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5" spans="79:138" ht="15">
      <c r="CA8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6" spans="79:138" ht="15">
      <c r="CA8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7" spans="79:138" ht="15">
      <c r="CA8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8" spans="79:138" ht="15">
      <c r="CA8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89" spans="79:138" ht="15">
      <c r="CA8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0" spans="79:138" ht="15">
      <c r="CA9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1" spans="79:138" ht="15">
      <c r="CA9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2" spans="79:138" ht="15">
      <c r="CA9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3" spans="79:138" ht="15">
      <c r="CA9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4" spans="79:138" ht="15">
      <c r="CA9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5" spans="79:138" ht="15">
      <c r="CA9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6" spans="79:138" ht="15">
      <c r="CA9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7" spans="79:138" ht="15">
      <c r="CA9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8" spans="79:138" ht="15">
      <c r="CA9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99" spans="79:138" ht="15">
      <c r="CA9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0" spans="79:138" ht="15">
      <c r="CA10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t="s">
        <v>38</v>
      </c>
    </row>
    <row r="101" spans="1:138" ht="15">
      <c r="A101" s="20" t="s">
        <v>40</v>
      </c>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65"/>
      <c s="20" t="s">
        <v>37</v>
      </c>
      <c s="65"/>
      <c s="65"/>
      <c s="65"/>
      <c s="65"/>
      <c s="65"/>
      <c s="65"/>
      <c s="65"/>
      <c s="65"/>
      <c s="65"/>
      <c s="65"/>
      <c s="65"/>
      <c s="65"/>
      <c s="65"/>
      <c s="65"/>
      <c s="65"/>
      <c s="65"/>
      <c s="65"/>
      <c s="65"/>
      <c s="65"/>
      <c s="65"/>
      <c s="65" t="s">
        <v>48</v>
      </c>
      <c s="65" t="s">
        <v>491</v>
      </c>
      <c s="66" t="s">
        <v>413</v>
      </c>
      <c s="66"/>
      <c s="66"/>
      <c s="66"/>
      <c s="66"/>
      <c s="66"/>
      <c s="66"/>
      <c s="66"/>
      <c s="66"/>
      <c s="66"/>
      <c s="66"/>
      <c s="66"/>
      <c s="66"/>
      <c s="66"/>
      <c s="66"/>
      <c s="66"/>
      <c s="66"/>
      <c s="66"/>
      <c s="66"/>
      <c s="66"/>
      <c s="66"/>
      <c s="66"/>
      <c s="66"/>
      <c s="66"/>
      <c s="66"/>
      <c s="66"/>
      <c s="66"/>
      <c s="66"/>
      <c s="66"/>
      <c s="66"/>
      <c s="66"/>
      <c s="115" t="s">
        <v>51</v>
      </c>
      <c s="115"/>
      <c s="115"/>
      <c s="115"/>
      <c s="115"/>
      <c s="115"/>
    </row>
    <row r="102" spans="1:138" ht="15">
      <c r="A10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
        <v>49</v>
      </c>
      <c s="65" t="s">
        <v>408</v>
      </c>
      <c s="66" t="s">
        <v>414</v>
      </c>
      <c s="66"/>
      <c s="66"/>
      <c s="66"/>
      <c s="66"/>
      <c s="66"/>
      <c s="66"/>
      <c s="66"/>
      <c s="66"/>
      <c s="66"/>
      <c s="66"/>
      <c s="66"/>
      <c s="66"/>
      <c s="66"/>
      <c s="66"/>
      <c s="66"/>
      <c s="66"/>
      <c s="66"/>
      <c s="66"/>
      <c s="66"/>
      <c s="66"/>
      <c s="66"/>
      <c s="66"/>
      <c s="66"/>
      <c s="66"/>
      <c s="66"/>
      <c s="66"/>
      <c s="66"/>
      <c s="66"/>
      <c s="66"/>
      <c s="66"/>
      <c s="65"/>
      <c s="65"/>
      <c s="65"/>
      <c s="65"/>
      <c s="65"/>
      <c s="65"/>
    </row>
    <row r="103" spans="1:138" ht="15">
      <c r="A10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c s="65"/>
      <c s="66" t="s">
        <v>415</v>
      </c>
      <c s="66"/>
      <c s="66"/>
      <c s="66"/>
      <c s="66"/>
      <c s="66"/>
      <c s="66"/>
      <c s="66"/>
      <c s="66"/>
      <c s="66"/>
      <c s="66"/>
      <c s="66"/>
      <c s="66"/>
      <c s="66"/>
      <c s="66"/>
      <c s="66"/>
      <c s="66"/>
      <c s="66"/>
      <c s="66"/>
      <c s="66"/>
      <c s="66"/>
      <c s="66"/>
      <c s="66"/>
      <c s="66"/>
      <c s="66"/>
      <c s="66"/>
      <c s="66"/>
      <c s="66"/>
      <c s="66"/>
      <c s="66"/>
      <c s="66"/>
      <c s="65"/>
      <c s="65"/>
      <c s="65"/>
      <c s="65"/>
      <c s="65"/>
      <c s="65"/>
    </row>
    <row r="104" spans="1:138" ht="15">
      <c r="A10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c s="65"/>
      <c s="66" t="s">
        <v>416</v>
      </c>
      <c s="66"/>
      <c s="66"/>
      <c s="66"/>
      <c s="66"/>
      <c s="66"/>
      <c s="66"/>
      <c s="66"/>
      <c s="66"/>
      <c s="66"/>
      <c s="66"/>
      <c s="66"/>
      <c s="66"/>
      <c s="66"/>
      <c s="66"/>
      <c s="66"/>
      <c s="66"/>
      <c s="66"/>
      <c s="66"/>
      <c s="66"/>
      <c s="66"/>
      <c s="66"/>
      <c s="66"/>
      <c s="66"/>
      <c s="66"/>
      <c s="66"/>
      <c s="66"/>
      <c s="66"/>
      <c s="66"/>
      <c s="66"/>
      <c s="66"/>
      <c s="65"/>
      <c s="65"/>
      <c s="65"/>
      <c s="65"/>
      <c s="65"/>
      <c s="65"/>
    </row>
    <row r="105" spans="1:141" ht="15">
      <c r="A10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75"/>
      <c s="67"/>
      <c s="67"/>
      <c s="67"/>
      <c s="67"/>
      <c s="67"/>
      <c s="67"/>
      <c s="67"/>
      <c s="67"/>
      <c s="67"/>
      <c s="67"/>
      <c s="67"/>
      <c s="67"/>
      <c s="67"/>
      <c s="66"/>
      <c s="66"/>
      <c s="66"/>
      <c s="66"/>
      <c s="66"/>
      <c s="66"/>
      <c s="66"/>
      <c s="66"/>
      <c s="66"/>
      <c s="66"/>
      <c s="66"/>
      <c s="66"/>
      <c s="66">
        <v>44930541.6696875</v>
      </c>
      <c s="66"/>
      <c s="66"/>
      <c s="66"/>
      <c s="66"/>
      <c s="66"/>
      <c s="66"/>
      <c s="66"/>
      <c s="66"/>
      <c s="66"/>
      <c s="66"/>
      <c s="66"/>
      <c s="66"/>
      <c s="66"/>
      <c s="66"/>
      <c s="66"/>
      <c s="66"/>
      <c s="66"/>
      <c s="66"/>
      <c s="67"/>
      <c s="67"/>
      <c s="67"/>
      <c s="67"/>
      <c s="68"/>
      <c s="68"/>
      <c s="69"/>
      <c s="69"/>
      <c s="69"/>
    </row>
    <row r="106" spans="1:141" ht="15">
      <c r="A10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67"/>
      <c s="67"/>
      <c s="67"/>
      <c s="67"/>
      <c s="67"/>
      <c s="67"/>
      <c s="67"/>
      <c s="67"/>
      <c s="67"/>
      <c s="67"/>
      <c s="67"/>
      <c s="67"/>
      <c s="67"/>
      <c s="67"/>
      <c s="66" t="s">
        <v>392</v>
      </c>
      <c s="66"/>
      <c s="66"/>
      <c s="66"/>
      <c s="66"/>
      <c s="66"/>
      <c s="66"/>
      <c s="66"/>
      <c s="66"/>
      <c s="66"/>
      <c s="66"/>
      <c s="66"/>
      <c s="66">
        <v>0.0674713385299297</v>
      </c>
      <c s="66"/>
      <c s="66"/>
      <c s="66"/>
      <c s="66"/>
      <c s="66"/>
      <c s="66"/>
      <c s="66"/>
      <c s="66"/>
      <c s="66"/>
      <c s="66"/>
      <c s="66"/>
      <c s="66"/>
      <c s="66"/>
      <c s="66"/>
      <c s="66"/>
      <c s="66"/>
      <c s="66"/>
      <c s="66"/>
      <c s="67"/>
      <c s="67"/>
      <c s="67"/>
      <c s="67"/>
      <c s="68"/>
      <c s="68"/>
      <c s="69"/>
      <c s="69"/>
      <c s="69"/>
    </row>
    <row r="107" spans="1:141" ht="15">
      <c r="A10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t="s">
        <v>44</v>
      </c>
      <c s="67"/>
      <c s="67"/>
      <c s="67"/>
      <c s="67"/>
      <c s="67"/>
      <c s="67"/>
      <c s="67"/>
      <c s="67"/>
      <c s="67"/>
      <c s="67"/>
      <c s="67">
        <v>4</v>
      </c>
      <c s="67"/>
      <c s="67"/>
      <c s="67"/>
      <c s="67"/>
      <c s="67"/>
      <c s="67"/>
      <c s="67"/>
      <c s="67"/>
      <c s="85"/>
      <c s="67"/>
      <c s="66" t="s">
        <v>393</v>
      </c>
      <c s="66"/>
      <c s="66"/>
      <c s="66"/>
      <c s="66"/>
      <c s="66"/>
      <c s="66"/>
      <c s="66"/>
      <c s="66"/>
      <c s="66"/>
      <c s="66"/>
      <c s="66"/>
      <c s="66"/>
      <c s="66"/>
      <c s="66"/>
      <c s="66"/>
      <c s="66"/>
      <c s="66"/>
      <c s="66"/>
      <c s="66"/>
      <c s="66"/>
      <c s="66"/>
      <c s="66"/>
      <c s="66"/>
      <c s="66"/>
      <c s="66"/>
      <c s="66"/>
      <c s="66"/>
      <c s="66"/>
      <c s="66"/>
      <c s="66"/>
      <c s="67"/>
      <c s="67"/>
      <c s="67"/>
      <c s="67"/>
      <c s="68"/>
      <c s="68"/>
      <c s="69"/>
      <c s="69"/>
      <c s="69"/>
    </row>
    <row r="108" spans="1:141" ht="15">
      <c r="A10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67"/>
      <c s="67"/>
      <c s="67"/>
      <c s="67"/>
      <c s="67"/>
      <c s="67"/>
      <c s="67"/>
      <c s="67"/>
      <c s="67"/>
      <c s="67"/>
      <c s="67"/>
      <c s="67"/>
      <c s="67"/>
      <c s="67"/>
      <c s="67"/>
      <c s="67"/>
      <c s="67" t="s">
        <v>408</v>
      </c>
      <c s="67"/>
      <c s="67"/>
      <c s="67"/>
      <c s="85"/>
      <c s="67"/>
      <c s="66" t="s">
        <v>417</v>
      </c>
      <c s="66"/>
      <c s="66"/>
      <c s="66"/>
      <c s="66"/>
      <c s="66"/>
      <c s="66"/>
      <c s="66"/>
      <c s="66"/>
      <c s="66"/>
      <c s="66"/>
      <c s="66"/>
      <c s="66"/>
      <c s="66"/>
      <c s="66"/>
      <c s="66"/>
      <c s="66"/>
      <c s="66"/>
      <c s="66"/>
      <c s="66"/>
      <c s="66"/>
      <c s="66"/>
      <c s="66"/>
      <c s="66"/>
      <c s="66"/>
      <c s="66"/>
      <c s="66"/>
      <c s="66"/>
      <c s="66"/>
      <c s="66"/>
      <c s="66"/>
      <c s="67" t="s">
        <v>45</v>
      </c>
      <c s="67" t="s">
        <v>45</v>
      </c>
      <c s="67" t="s">
        <v>45</v>
      </c>
      <c s="67" t="s">
        <v>45</v>
      </c>
      <c s="68" t="s">
        <v>34</v>
      </c>
      <c s="68" t="s">
        <v>34</v>
      </c>
      <c s="69"/>
      <c s="69"/>
      <c s="69"/>
    </row>
    <row r="109" spans="1:141" ht="30">
      <c r="A10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7"/>
      <c s="70" t="s">
        <v>50</v>
      </c>
      <c s="67" t="s">
        <v>38</v>
      </c>
      <c s="67" t="s">
        <v>9</v>
      </c>
      <c s="67" t="s">
        <v>13</v>
      </c>
      <c s="67" t="s">
        <v>10</v>
      </c>
      <c s="67" t="s">
        <v>15</v>
      </c>
      <c s="67" t="s">
        <v>11</v>
      </c>
      <c s="67" t="s">
        <v>17</v>
      </c>
      <c s="67" t="s">
        <v>12</v>
      </c>
      <c s="67" t="s">
        <v>19</v>
      </c>
      <c s="67"/>
      <c s="67"/>
      <c s="67" t="s">
        <v>9</v>
      </c>
      <c s="67" t="s">
        <v>21</v>
      </c>
      <c s="67" t="s">
        <v>10</v>
      </c>
      <c s="67" t="s">
        <v>22</v>
      </c>
      <c s="67" t="s">
        <v>11</v>
      </c>
      <c s="67" t="s">
        <v>23</v>
      </c>
      <c s="67" t="s">
        <v>12</v>
      </c>
      <c s="67" t="s">
        <v>24</v>
      </c>
      <c s="67"/>
      <c s="67"/>
      <c s="66" t="s">
        <v>41</v>
      </c>
      <c s="66" t="s">
        <v>32</v>
      </c>
      <c s="66"/>
      <c s="66"/>
      <c s="66"/>
      <c s="66"/>
      <c s="66"/>
      <c s="66"/>
      <c s="66"/>
      <c s="66"/>
      <c s="66"/>
      <c s="66"/>
      <c s="66"/>
      <c s="66"/>
      <c s="66"/>
      <c s="66"/>
      <c s="66" t="s">
        <v>33</v>
      </c>
      <c s="66"/>
      <c s="66"/>
      <c s="66"/>
      <c s="66"/>
      <c s="66"/>
      <c s="66"/>
      <c s="66"/>
      <c s="66"/>
      <c s="66"/>
      <c s="66"/>
      <c s="66"/>
      <c s="66"/>
      <c s="66"/>
      <c s="66"/>
      <c s="67" t="s">
        <v>32</v>
      </c>
      <c s="67" t="s">
        <v>32</v>
      </c>
      <c s="67" t="s">
        <v>33</v>
      </c>
      <c s="67" t="s">
        <v>33</v>
      </c>
      <c s="68" t="s">
        <v>33</v>
      </c>
      <c s="68" t="s">
        <v>33</v>
      </c>
      <c s="165" t="s">
        <v>411</v>
      </c>
      <c s="165"/>
      <c s="69"/>
    </row>
    <row r="110" spans="1:141" ht="29.25">
      <c r="A1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8"/>
      <c s="67" t="s">
        <v>29</v>
      </c>
      <c s="67" t="s">
        <v>5</v>
      </c>
      <c s="67" t="s">
        <v>7</v>
      </c>
      <c s="67" t="s">
        <v>58</v>
      </c>
      <c s="67" t="s">
        <v>14</v>
      </c>
      <c s="67" t="s">
        <v>59</v>
      </c>
      <c s="67" t="s">
        <v>16</v>
      </c>
      <c s="67" t="s">
        <v>67</v>
      </c>
      <c s="67" t="s">
        <v>18</v>
      </c>
      <c s="67" t="s">
        <v>492</v>
      </c>
      <c s="67" t="s">
        <v>20</v>
      </c>
      <c s="67" t="s">
        <v>6</v>
      </c>
      <c s="67" t="s">
        <v>8</v>
      </c>
      <c s="67" t="s">
        <v>67</v>
      </c>
      <c s="67" t="s">
        <v>14</v>
      </c>
      <c s="67" t="s">
        <v>59</v>
      </c>
      <c s="67" t="s">
        <v>16</v>
      </c>
      <c s="67" t="s">
        <v>55</v>
      </c>
      <c s="67" t="s">
        <v>18</v>
      </c>
      <c s="67" t="s">
        <v>492</v>
      </c>
      <c s="67" t="s">
        <v>20</v>
      </c>
      <c s="67" t="s">
        <v>4</v>
      </c>
      <c s="67" t="s">
        <v>3</v>
      </c>
      <c s="66" t="s">
        <v>41</v>
      </c>
      <c s="66" t="s">
        <v>394</v>
      </c>
      <c s="66" t="s">
        <v>395</v>
      </c>
      <c s="66" t="s">
        <v>396</v>
      </c>
      <c s="66" t="s">
        <v>397</v>
      </c>
      <c s="66" t="s">
        <v>398</v>
      </c>
      <c s="66" t="s">
        <v>399</v>
      </c>
      <c s="66" t="s">
        <v>400</v>
      </c>
      <c s="66" t="s">
        <v>401</v>
      </c>
      <c s="66" t="s">
        <v>402</v>
      </c>
      <c s="66" t="s">
        <v>403</v>
      </c>
      <c s="66" t="s">
        <v>404</v>
      </c>
      <c s="66" t="s">
        <v>30</v>
      </c>
      <c s="66" t="s">
        <v>405</v>
      </c>
      <c s="66" t="s">
        <v>406</v>
      </c>
      <c s="66" t="s">
        <v>407</v>
      </c>
      <c s="66" t="s">
        <v>394</v>
      </c>
      <c s="66" t="s">
        <v>395</v>
      </c>
      <c s="66" t="s">
        <v>396</v>
      </c>
      <c s="66" t="s">
        <v>397</v>
      </c>
      <c s="66" t="s">
        <v>398</v>
      </c>
      <c s="66" t="s">
        <v>399</v>
      </c>
      <c s="66" t="s">
        <v>400</v>
      </c>
      <c s="66" t="s">
        <v>401</v>
      </c>
      <c s="66" t="s">
        <v>402</v>
      </c>
      <c s="66" t="s">
        <v>403</v>
      </c>
      <c s="66" t="s">
        <v>404</v>
      </c>
      <c s="66" t="s">
        <v>30</v>
      </c>
      <c s="66" t="s">
        <v>405</v>
      </c>
      <c s="66" t="s">
        <v>406</v>
      </c>
      <c s="66" t="s">
        <v>407</v>
      </c>
      <c s="67" t="s">
        <v>30</v>
      </c>
      <c s="67" t="s">
        <v>31</v>
      </c>
      <c s="67" t="s">
        <v>30</v>
      </c>
      <c s="67" t="s">
        <v>31</v>
      </c>
      <c s="71" t="s">
        <v>36</v>
      </c>
      <c s="71" t="s">
        <v>35</v>
      </c>
      <c s="69" t="s">
        <v>4</v>
      </c>
      <c s="69" t="s">
        <v>34</v>
      </c>
      <c s="69"/>
    </row>
    <row r="111" spans="1:141" ht="15">
      <c r="A1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
        <v>493</v>
      </c>
      <c s="65" t="s">
        <v>58</v>
      </c>
      <c s="72" t="s">
        <v>418</v>
      </c>
      <c s="72" t="s">
        <v>419</v>
      </c>
      <c s="72">
        <v>118332520.121765</v>
      </c>
      <c s="72">
        <v>62679564.7600708</v>
      </c>
      <c s="72">
        <v>52.9690102903014</v>
      </c>
      <c s="72">
        <v>55652955.3616943</v>
      </c>
      <c s="72">
        <v>47.0309897096986</v>
      </c>
      <c s="72">
        <v>47600790.5543213</v>
      </c>
      <c s="72">
        <v>29.0818923678048</v>
      </c>
      <c s="72">
        <v>70.9181076321952</v>
      </c>
      <c s="72">
        <v>13843210.6752319</v>
      </c>
      <c s="72">
        <v>217587515.842266</v>
      </c>
      <c s="72" t="s">
        <v>408</v>
      </c>
      <c s="72">
        <v>0</v>
      </c>
      <c s="72">
        <v>29.0818923678048</v>
      </c>
      <c s="72">
        <v>7481889.8677703</v>
      </c>
      <c s="72" t="s">
        <v>408</v>
      </c>
      <c s="72">
        <v>203451.020446777</v>
      </c>
      <c s="72">
        <v>-421216.70489502</v>
      </c>
      <c s="72">
        <v>-0.447800614087207</v>
      </c>
      <c s="72">
        <v>624667.725341797</v>
      </c>
      <c s="72">
        <v>0.447800614087207</v>
      </c>
      <c s="72">
        <v>-1558150.93988037</v>
      </c>
      <c s="72">
        <v>-0.442031219838075</v>
      </c>
      <c s="72">
        <v>0.442031219838071</v>
      </c>
      <c s="72">
        <v>-670437.648010254</v>
      </c>
      <c s="72">
        <v>15131511.5516797</v>
      </c>
      <c s="72" t="s">
        <v>408</v>
      </c>
      <c s="72">
        <v>0</v>
      </c>
      <c s="72">
        <v>-0.442031219838075</v>
      </c>
      <c s="72" t="s">
        <v>408</v>
      </c>
      <c s="73"/>
      <c s="73"/>
      <c s="73"/>
      <c s="73"/>
      <c s="74"/>
      <c s="74"/>
      <c s="69" t="s">
        <v>418</v>
      </c>
      <c s="69" t="s">
        <v>419</v>
      </c>
      <c s="69"/>
    </row>
    <row r="112" spans="1:140" ht="15">
      <c r="A1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65"/>
      <c s="65"/>
      <c s="65"/>
      <c s="65"/>
      <c s="65"/>
      <c s="65"/>
      <c s="65"/>
      <c s="65"/>
      <c s="65"/>
      <c s="65"/>
      <c s="65"/>
      <c s="65"/>
      <c s="65"/>
      <c s="65"/>
      <c s="65"/>
      <c s="65"/>
      <c s="65"/>
      <c s="65"/>
      <c s="65"/>
      <c s="65"/>
      <c s="65" t="s">
        <v>54</v>
      </c>
      <c s="65" t="s">
        <v>54</v>
      </c>
      <c s="72" t="s">
        <v>420</v>
      </c>
      <c s="72" t="s">
        <v>420</v>
      </c>
      <c s="72">
        <v>118332520.121765</v>
      </c>
      <c s="72">
        <v>118332520.121765</v>
      </c>
      <c s="72">
        <v>100</v>
      </c>
      <c s="72">
        <v>0</v>
      </c>
      <c s="72">
        <v>0</v>
      </c>
      <c s="72">
        <v>47600790.5543213</v>
      </c>
      <c s="72">
        <v>100</v>
      </c>
      <c s="72">
        <v>0</v>
      </c>
      <c s="72">
        <v>47600790.5543213</v>
      </c>
      <c s="72">
        <v>503115778.998047</v>
      </c>
      <c s="72">
        <v>665920413.743633</v>
      </c>
      <c s="72">
        <v>285528263.155781</v>
      </c>
      <c s="72">
        <v>100</v>
      </c>
      <c s="72">
        <v>19354456.469132</v>
      </c>
      <c s="72" t="s">
        <v>408</v>
      </c>
      <c s="72">
        <v>203451.020446777</v>
      </c>
      <c s="72">
        <v>203451.020446777</v>
      </c>
      <c s="72">
        <v>0</v>
      </c>
      <c s="72">
        <v>0</v>
      </c>
      <c s="72">
        <v>0</v>
      </c>
      <c s="72">
        <v>-1558150.93988037</v>
      </c>
      <c s="72">
        <v>0</v>
      </c>
      <c s="72">
        <v>0</v>
      </c>
      <c s="72">
        <v>-1558150.93988037</v>
      </c>
      <c s="72">
        <v>11357104.2177734</v>
      </c>
      <c s="72">
        <v>-68339957.1220312</v>
      </c>
      <c s="72">
        <v>-3774407.33390623</v>
      </c>
      <c s="72">
        <v>0</v>
      </c>
      <c s="72" t="s">
        <v>408</v>
      </c>
      <c s="73"/>
      <c s="73"/>
      <c s="73"/>
      <c s="73"/>
      <c s="74"/>
      <c s="74"/>
      <c s="69" t="s">
        <v>420</v>
      </c>
      <c s="69" t="s">
        <v>420</v>
      </c>
    </row>
    <row r="113" spans="1:141" ht="15">
      <c r="A1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v>25277445.0171875</v>
      </c>
      <c s="76">
        <v>4</v>
      </c>
      <c s="75" t="s">
        <v>408</v>
      </c>
      <c s="76" t="s">
        <v>408</v>
      </c>
      <c s="75" t="s">
        <v>408</v>
      </c>
      <c s="76" t="s">
        <v>408</v>
      </c>
      <c s="75" t="s">
        <v>408</v>
      </c>
      <c s="76" t="s">
        <v>408</v>
      </c>
      <c s="75" t="s">
        <v>408</v>
      </c>
      <c s="76" t="s">
        <v>408</v>
      </c>
      <c s="75">
        <v>101995412.654687</v>
      </c>
      <c s="76">
        <v>3</v>
      </c>
      <c s="75" t="s">
        <v>408</v>
      </c>
      <c s="76" t="s">
        <v>408</v>
      </c>
      <c s="75" t="s">
        <v>408</v>
      </c>
      <c s="76" t="s">
        <v>408</v>
      </c>
      <c s="75" t="s">
        <v>408</v>
      </c>
      <c s="76" t="s">
        <v>408</v>
      </c>
      <c s="75" t="s">
        <v>408</v>
      </c>
      <c s="76" t="s">
        <v>408</v>
      </c>
      <c s="65" t="s">
        <v>55</v>
      </c>
      <c s="65" t="s">
        <v>55</v>
      </c>
      <c s="72" t="s">
        <v>421</v>
      </c>
      <c s="72" t="s">
        <v>421</v>
      </c>
      <c s="72">
        <v>118332520.121765</v>
      </c>
      <c s="72">
        <v>61942743.5274658</v>
      </c>
      <c s="72">
        <v>52.346340180811</v>
      </c>
      <c s="72">
        <v>56389776.5942993</v>
      </c>
      <c s="72">
        <v>47.653659819189</v>
      </c>
      <c s="72">
        <v>47600790.5543213</v>
      </c>
      <c s="72">
        <v>14.3696374513057</v>
      </c>
      <c s="72">
        <v>85.6303625486943</v>
      </c>
      <c s="72">
        <v>6840061.02661133</v>
      </c>
      <c s="72">
        <v>25277445.0171875</v>
      </c>
      <c s="72">
        <v>101995412.654687</v>
      </c>
      <c s="72">
        <v>25277445.0171875</v>
      </c>
      <c s="72">
        <v>27.8775743954492</v>
      </c>
      <c s="72">
        <v>8266301.45614832</v>
      </c>
      <c s="72" t="s">
        <v>408</v>
      </c>
      <c s="72">
        <v>203451.020446777</v>
      </c>
      <c s="72">
        <v>995788.398376465</v>
      </c>
      <c s="72">
        <v>0.752811515300543</v>
      </c>
      <c s="72">
        <v>-792337.377929688</v>
      </c>
      <c s="72">
        <v>-0.752811515300543</v>
      </c>
      <c s="72">
        <v>-1558150.93988037</v>
      </c>
      <c s="72">
        <v>-0.758925485867101</v>
      </c>
      <c s="72">
        <v>0.758925485867096</v>
      </c>
      <c s="72">
        <v>-596980.376586914</v>
      </c>
      <c s="72">
        <v>-4866230.63820313</v>
      </c>
      <c s="72">
        <v>-16187182.9036719</v>
      </c>
      <c s="72">
        <v>-4866230.63820313</v>
      </c>
      <c s="72">
        <v>-1.47379436670144</v>
      </c>
      <c s="72" t="s">
        <v>408</v>
      </c>
      <c s="73">
        <v>101995412.654687</v>
      </c>
      <c s="73">
        <v>25277445.0171875</v>
      </c>
      <c s="73">
        <v>-16187182.9036719</v>
      </c>
      <c s="73">
        <v>-4866230.63820313</v>
      </c>
      <c s="74">
        <v>-0.00779004710637499</v>
      </c>
      <c s="74">
        <v>-0.0110558945597364</v>
      </c>
      <c s="69" t="s">
        <v>421</v>
      </c>
      <c s="69" t="s">
        <v>421</v>
      </c>
      <c s="77"/>
    </row>
    <row r="114" spans="1:141" ht="15">
      <c r="A1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v>3511416.206875</v>
      </c>
      <c s="76">
        <v>5</v>
      </c>
      <c s="75" t="s">
        <v>408</v>
      </c>
      <c s="76" t="s">
        <v>408</v>
      </c>
      <c s="75" t="s">
        <v>408</v>
      </c>
      <c s="76" t="s">
        <v>408</v>
      </c>
      <c s="75" t="s">
        <v>408</v>
      </c>
      <c s="76" t="s">
        <v>408</v>
      </c>
      <c s="75">
        <v>15520228.98375</v>
      </c>
      <c s="76">
        <v>3</v>
      </c>
      <c s="75" t="s">
        <v>408</v>
      </c>
      <c s="76" t="s">
        <v>408</v>
      </c>
      <c s="65" t="s">
        <v>486</v>
      </c>
      <c s="65" t="s">
        <v>55</v>
      </c>
      <c s="72" t="s">
        <v>422</v>
      </c>
      <c s="72" t="s">
        <v>421</v>
      </c>
      <c s="72">
        <v>118332520.121765</v>
      </c>
      <c s="72">
        <v>10478035.4973755</v>
      </c>
      <c s="72">
        <v>8.854738736734</v>
      </c>
      <c s="72">
        <v>107854484.62439</v>
      </c>
      <c s="72">
        <v>91.145261263266</v>
      </c>
      <c s="72">
        <v>47600790.5543213</v>
      </c>
      <c s="72">
        <v>2.00615101808858</v>
      </c>
      <c s="72">
        <v>97.9938489819114</v>
      </c>
      <c s="72">
        <v>954943.74432373</v>
      </c>
      <c s="72">
        <v>3511416.206875</v>
      </c>
      <c s="72">
        <v>15520228.98375</v>
      </c>
      <c s="72">
        <v>3511416.206875</v>
      </c>
      <c s="72">
        <v>25.9539382890914</v>
      </c>
      <c s="72">
        <v>1456263.37626757</v>
      </c>
      <c s="72" t="s">
        <v>408</v>
      </c>
      <c s="72">
        <v>203451.020446777</v>
      </c>
      <c s="72">
        <v>18443.6372070313</v>
      </c>
      <c s="72">
        <v>0.000362807302650481</v>
      </c>
      <c s="72">
        <v>185007.383239746</v>
      </c>
      <c s="72">
        <v>-0.000362807302650481</v>
      </c>
      <c s="72">
        <v>-1558150.93988037</v>
      </c>
      <c s="72">
        <v>0.201587620530119</v>
      </c>
      <c s="72">
        <v>-0.20158762053012</v>
      </c>
      <c s="72">
        <v>67839.4794921875</v>
      </c>
      <c s="72">
        <v>-560371.896875</v>
      </c>
      <c s="72">
        <v>2210229.20140625</v>
      </c>
      <c s="72">
        <v>-560371.896875</v>
      </c>
      <c s="72">
        <v>0.243269317844437</v>
      </c>
      <c s="72" t="s">
        <v>408</v>
      </c>
      <c s="73" t="s">
        <v>408</v>
      </c>
      <c s="73" t="s">
        <v>408</v>
      </c>
      <c s="73" t="s">
        <v>408</v>
      </c>
      <c s="73" t="s">
        <v>408</v>
      </c>
      <c s="74" t="s">
        <v>408</v>
      </c>
      <c s="74" t="s">
        <v>408</v>
      </c>
      <c s="69" t="s">
        <v>422</v>
      </c>
      <c s="69" t="s">
        <v>421</v>
      </c>
      <c s="77"/>
    </row>
    <row r="115" spans="1:141" ht="15">
      <c r="A1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v>10804511.2096875</v>
      </c>
      <c s="76">
        <v>2</v>
      </c>
      <c s="75" t="s">
        <v>408</v>
      </c>
      <c s="76" t="s">
        <v>408</v>
      </c>
      <c s="75" t="s">
        <v>408</v>
      </c>
      <c s="76" t="s">
        <v>408</v>
      </c>
      <c s="75" t="s">
        <v>408</v>
      </c>
      <c s="76" t="s">
        <v>408</v>
      </c>
      <c s="75">
        <v>45645023.6346875</v>
      </c>
      <c s="76">
        <v>1</v>
      </c>
      <c s="75" t="s">
        <v>408</v>
      </c>
      <c s="76" t="s">
        <v>408</v>
      </c>
      <c s="65" t="s">
        <v>478</v>
      </c>
      <c s="65" t="s">
        <v>55</v>
      </c>
      <c s="72" t="s">
        <v>423</v>
      </c>
      <c s="72" t="s">
        <v>421</v>
      </c>
      <c s="72">
        <v>118332520.121765</v>
      </c>
      <c s="72">
        <v>26131766.690979</v>
      </c>
      <c s="72">
        <v>22.0833348804616</v>
      </c>
      <c s="72">
        <v>92200753.4307861</v>
      </c>
      <c s="72">
        <v>77.9166651195384</v>
      </c>
      <c s="72">
        <v>47600790.5543213</v>
      </c>
      <c s="72">
        <v>6.57470711945268</v>
      </c>
      <c s="72">
        <v>93.4252928805473</v>
      </c>
      <c s="72">
        <v>3129612.56549072</v>
      </c>
      <c s="72">
        <v>10804511.2096875</v>
      </c>
      <c s="72">
        <v>45645023.6346875</v>
      </c>
      <c s="72">
        <v>10804511.2096875</v>
      </c>
      <c s="72">
        <v>32.2639104751417</v>
      </c>
      <c s="72">
        <v>3309904.01050513</v>
      </c>
      <c s="72" t="s">
        <v>408</v>
      </c>
      <c s="72">
        <v>203451.020446777</v>
      </c>
      <c s="72">
        <v>613581.618103027</v>
      </c>
      <c s="72">
        <v>0.481382653961592</v>
      </c>
      <c s="72">
        <v>-410130.59765625</v>
      </c>
      <c s="72">
        <v>-0.481382653961603</v>
      </c>
      <c s="72">
        <v>-1558150.93988037</v>
      </c>
      <c s="72">
        <v>-0.322334158942936</v>
      </c>
      <c s="72">
        <v>0.322334158942937</v>
      </c>
      <c s="72">
        <v>-260899.921386719</v>
      </c>
      <c s="72">
        <v>-3109841.1365625</v>
      </c>
      <c s="72">
        <v>-8229306.230625</v>
      </c>
      <c s="72">
        <v>-3109841.1365625</v>
      </c>
      <c s="72">
        <v>-0.731655551945366</v>
      </c>
      <c s="72" t="s">
        <v>408</v>
      </c>
      <c s="73" t="s">
        <v>408</v>
      </c>
      <c s="73" t="s">
        <v>408</v>
      </c>
      <c s="73" t="s">
        <v>408</v>
      </c>
      <c s="73" t="s">
        <v>408</v>
      </c>
      <c s="74" t="s">
        <v>408</v>
      </c>
      <c s="74" t="s">
        <v>408</v>
      </c>
      <c s="69" t="s">
        <v>423</v>
      </c>
      <c s="69" t="s">
        <v>421</v>
      </c>
      <c s="77"/>
    </row>
    <row r="116" spans="1:141" ht="15">
      <c r="A1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v>10470745.7296875</v>
      </c>
      <c s="76">
        <v>3</v>
      </c>
      <c s="75" t="s">
        <v>408</v>
      </c>
      <c s="76" t="s">
        <v>408</v>
      </c>
      <c s="75" t="s">
        <v>408</v>
      </c>
      <c s="76" t="s">
        <v>408</v>
      </c>
      <c s="75" t="s">
        <v>408</v>
      </c>
      <c s="76" t="s">
        <v>408</v>
      </c>
      <c s="75">
        <v>39865311.3165625</v>
      </c>
      <c s="76">
        <v>2</v>
      </c>
      <c s="75" t="s">
        <v>408</v>
      </c>
      <c s="76" t="s">
        <v>408</v>
      </c>
      <c s="65" t="s">
        <v>482</v>
      </c>
      <c s="65" t="s">
        <v>55</v>
      </c>
      <c s="72" t="s">
        <v>424</v>
      </c>
      <c s="72" t="s">
        <v>421</v>
      </c>
      <c s="72">
        <v>118332520.121765</v>
      </c>
      <c s="72">
        <v>30885373.225647</v>
      </c>
      <c s="72">
        <v>26.1004947700477</v>
      </c>
      <c s="72">
        <v>87447146.8961182</v>
      </c>
      <c s="72">
        <v>73.8995052299523</v>
      </c>
      <c s="72">
        <v>47600790.5543213</v>
      </c>
      <c s="72">
        <v>5.9756606415848</v>
      </c>
      <c s="72">
        <v>94.0243393584152</v>
      </c>
      <c s="72">
        <v>2844461.70623779</v>
      </c>
      <c s="72">
        <v>10470745.7296875</v>
      </c>
      <c s="72">
        <v>39865311.3165625</v>
      </c>
      <c s="72">
        <v>10470745.7296875</v>
      </c>
      <c s="72">
        <v>20.4729976287968</v>
      </c>
      <c s="72">
        <v>4057999.47391446</v>
      </c>
      <c s="72" t="s">
        <v>408</v>
      </c>
      <c s="72">
        <v>203451.020446777</v>
      </c>
      <c s="72">
        <v>-362604.467102051</v>
      </c>
      <c s="72">
        <v>-0.351908461834082</v>
      </c>
      <c s="72">
        <v>566055.487548828</v>
      </c>
      <c s="72">
        <v>0.351908461834086</v>
      </c>
      <c s="72">
        <v>-1558150.93988037</v>
      </c>
      <c s="72">
        <v>-0.653771401475357</v>
      </c>
      <c s="72">
        <v>0.653771401475368</v>
      </c>
      <c s="72">
        <v>-414496.913208008</v>
      </c>
      <c s="72">
        <v>-1403029.95164062</v>
      </c>
      <c s="72">
        <v>-10094089.0810156</v>
      </c>
      <c s="72">
        <v>-1403029.95164062</v>
      </c>
      <c s="72">
        <v>-1.82124732935022</v>
      </c>
      <c s="72" t="s">
        <v>408</v>
      </c>
      <c s="73" t="s">
        <v>408</v>
      </c>
      <c s="73" t="s">
        <v>408</v>
      </c>
      <c s="73" t="s">
        <v>408</v>
      </c>
      <c s="73" t="s">
        <v>408</v>
      </c>
      <c s="74" t="s">
        <v>408</v>
      </c>
      <c s="74" t="s">
        <v>408</v>
      </c>
      <c s="69" t="s">
        <v>424</v>
      </c>
      <c s="69" t="s">
        <v>421</v>
      </c>
      <c s="77"/>
    </row>
    <row r="117" spans="1:141" ht="15">
      <c r="A1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v>1001362.15257813</v>
      </c>
      <c s="76">
        <v>4</v>
      </c>
      <c s="75" t="s">
        <v>408</v>
      </c>
      <c s="76" t="s">
        <v>408</v>
      </c>
      <c s="75" t="s">
        <v>408</v>
      </c>
      <c s="76" t="s">
        <v>408</v>
      </c>
      <c s="75" t="s">
        <v>408</v>
      </c>
      <c s="76" t="s">
        <v>408</v>
      </c>
      <c s="75" t="s">
        <v>408</v>
      </c>
      <c s="76" t="s">
        <v>408</v>
      </c>
      <c s="65" t="s">
        <v>56</v>
      </c>
      <c s="65" t="s">
        <v>56</v>
      </c>
      <c s="72" t="s">
        <v>425</v>
      </c>
      <c s="72" t="s">
        <v>425</v>
      </c>
      <c s="72">
        <v>118332520.121765</v>
      </c>
      <c s="72">
        <v>40752592.2315674</v>
      </c>
      <c s="72">
        <v>34.4390470089141</v>
      </c>
      <c s="72">
        <v>77579927.8901978</v>
      </c>
      <c s="72">
        <v>65.5609529910859</v>
      </c>
      <c s="72">
        <v>47600790.5543213</v>
      </c>
      <c s="72">
        <v>0.594678260180467</v>
      </c>
      <c s="72">
        <v>99.4053217398195</v>
      </c>
      <c s="72">
        <v>283071.553100586</v>
      </c>
      <c s="72" t="s">
        <v>408</v>
      </c>
      <c s="72">
        <v>1001362.15257813</v>
      </c>
      <c s="72" t="s">
        <v>408</v>
      </c>
      <c s="72">
        <v>1.5096190966616</v>
      </c>
      <c s="72">
        <v>1816860.59337735</v>
      </c>
      <c s="72" t="s">
        <v>408</v>
      </c>
      <c s="72">
        <v>203451.020446777</v>
      </c>
      <c s="72">
        <v>-1248426.63696289</v>
      </c>
      <c s="72">
        <v>-1.11614629622097</v>
      </c>
      <c s="72">
        <v>1451877.65740967</v>
      </c>
      <c s="72">
        <v>1.11614629622096</v>
      </c>
      <c s="72">
        <v>-1558150.93988037</v>
      </c>
      <c s="72">
        <v>-0.0668978437595429</v>
      </c>
      <c s="72">
        <v>0.0668978437595342</v>
      </c>
      <c s="72">
        <v>-42152.2567749023</v>
      </c>
      <c s="72" t="s">
        <v>408</v>
      </c>
      <c s="72">
        <v>-579555.377734375</v>
      </c>
      <c s="72" t="s">
        <v>408</v>
      </c>
      <c s="72">
        <v>-0.343391321826467</v>
      </c>
      <c s="72" t="s">
        <v>408</v>
      </c>
      <c s="73">
        <v>1001362.15257813</v>
      </c>
      <c s="73" t="s">
        <v>408</v>
      </c>
      <c s="73">
        <v>-579555.377734375</v>
      </c>
      <c s="73" t="s">
        <v>408</v>
      </c>
      <c s="74">
        <v>-0.000649348370440598</v>
      </c>
      <c s="74" t="s">
        <v>408</v>
      </c>
      <c s="69" t="s">
        <v>425</v>
      </c>
      <c s="69" t="s">
        <v>425</v>
      </c>
      <c s="77"/>
    </row>
    <row r="118" spans="1:141" ht="15">
      <c r="A1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v>8416289.283125</v>
      </c>
      <c s="76">
        <v>4</v>
      </c>
      <c s="75" t="s">
        <v>408</v>
      </c>
      <c s="76" t="s">
        <v>408</v>
      </c>
      <c s="75" t="s">
        <v>408</v>
      </c>
      <c s="76" t="s">
        <v>408</v>
      </c>
      <c s="75" t="s">
        <v>408</v>
      </c>
      <c s="76" t="s">
        <v>408</v>
      </c>
      <c s="75" t="s">
        <v>408</v>
      </c>
      <c s="76" t="s">
        <v>408</v>
      </c>
      <c s="75">
        <v>22731133.3533594</v>
      </c>
      <c s="76">
        <v>4</v>
      </c>
      <c s="75" t="s">
        <v>408</v>
      </c>
      <c s="76" t="s">
        <v>408</v>
      </c>
      <c s="75" t="s">
        <v>408</v>
      </c>
      <c s="76" t="s">
        <v>408</v>
      </c>
      <c s="75" t="s">
        <v>408</v>
      </c>
      <c s="76" t="s">
        <v>408</v>
      </c>
      <c s="75" t="s">
        <v>408</v>
      </c>
      <c s="76" t="s">
        <v>408</v>
      </c>
      <c s="65" t="s">
        <v>57</v>
      </c>
      <c s="65" t="s">
        <v>57</v>
      </c>
      <c s="72" t="s">
        <v>426</v>
      </c>
      <c s="72" t="s">
        <v>426</v>
      </c>
      <c s="72">
        <v>118332520.121765</v>
      </c>
      <c s="72">
        <v>77358499.2788086</v>
      </c>
      <c s="72">
        <v>65.373828934942</v>
      </c>
      <c s="72">
        <v>40974020.8429565</v>
      </c>
      <c s="72">
        <v>34.626171065058</v>
      </c>
      <c s="72">
        <v>47600790.5543213</v>
      </c>
      <c s="72">
        <v>8.81981164486825</v>
      </c>
      <c s="72">
        <v>91.1801883551317</v>
      </c>
      <c s="72">
        <v>4198300.06835938</v>
      </c>
      <c s="72">
        <v>8416289.283125</v>
      </c>
      <c s="72">
        <v>22731133.3533594</v>
      </c>
      <c s="72">
        <v>8416289.283125</v>
      </c>
      <c s="72">
        <v>13.07737027052</v>
      </c>
      <c s="72">
        <v>4605916.64719696</v>
      </c>
      <c s="72" t="s">
        <v>408</v>
      </c>
      <c s="72">
        <v>203451.020446777</v>
      </c>
      <c s="72">
        <v>1492333.30505371</v>
      </c>
      <c s="72">
        <v>1.15071556334246</v>
      </c>
      <c s="72">
        <v>-1288882.28460693</v>
      </c>
      <c s="72">
        <v>-1.15071556334246</v>
      </c>
      <c s="72">
        <v>-1558150.93988037</v>
      </c>
      <c s="72">
        <v>0.158340170832894</v>
      </c>
      <c s="72">
        <v>-0.158340170832901</v>
      </c>
      <c s="72">
        <v>-59587.6260986328</v>
      </c>
      <c s="72">
        <v>-6110.65253906325</v>
      </c>
      <c s="72">
        <v>4295005.82175781</v>
      </c>
      <c s="72">
        <v>-6110.65253906325</v>
      </c>
      <c s="72">
        <v>-0.416078623584369</v>
      </c>
      <c s="72" t="s">
        <v>408</v>
      </c>
      <c s="73">
        <v>22731133.3533594</v>
      </c>
      <c s="73">
        <v>8416289.283125</v>
      </c>
      <c s="73">
        <v>4295005.82175781</v>
      </c>
      <c s="73">
        <v>-6110.65253906325</v>
      </c>
      <c s="74">
        <v>0.00902647666510602</v>
      </c>
      <c s="74">
        <v>-0.000398764894887698</v>
      </c>
      <c s="69" t="s">
        <v>426</v>
      </c>
      <c s="69" t="s">
        <v>426</v>
      </c>
      <c s="77"/>
    </row>
    <row r="119" spans="1:141" ht="15">
      <c r="A1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v>4101391.8159375</v>
      </c>
      <c s="76">
        <v>4</v>
      </c>
      <c s="75" t="s">
        <v>408</v>
      </c>
      <c s="76" t="s">
        <v>408</v>
      </c>
      <c s="75" t="s">
        <v>408</v>
      </c>
      <c s="76" t="s">
        <v>408</v>
      </c>
      <c s="75" t="s">
        <v>408</v>
      </c>
      <c s="76" t="s">
        <v>408</v>
      </c>
      <c s="75" t="s">
        <v>408</v>
      </c>
      <c s="76" t="s">
        <v>408</v>
      </c>
      <c s="75">
        <v>11780062.8470313</v>
      </c>
      <c s="76">
        <v>4</v>
      </c>
      <c s="65" t="s">
        <v>487</v>
      </c>
      <c s="65" t="s">
        <v>57</v>
      </c>
      <c s="72" t="s">
        <v>427</v>
      </c>
      <c s="72" t="s">
        <v>426</v>
      </c>
      <c s="72">
        <v>118332520.121765</v>
      </c>
      <c s="72">
        <v>31938786.5004272</v>
      </c>
      <c s="72">
        <v>26.990709289012</v>
      </c>
      <c s="72">
        <v>86393733.6213379</v>
      </c>
      <c s="72">
        <v>73.009290710988</v>
      </c>
      <c s="72">
        <v>47600790.5543213</v>
      </c>
      <c s="72">
        <v>4.70997826761155</v>
      </c>
      <c s="72">
        <v>95.2900217323885</v>
      </c>
      <c s="72">
        <v>2241986.89031982</v>
      </c>
      <c s="72">
        <v>4101391.8159375</v>
      </c>
      <c s="72">
        <v>11780062.8470313</v>
      </c>
      <c s="72">
        <v>4101391.8159375</v>
      </c>
      <c s="72">
        <v>16.4091723705508</v>
      </c>
      <c s="72">
        <v>2053303.84445718</v>
      </c>
      <c s="72" t="s">
        <v>408</v>
      </c>
      <c s="72">
        <v>203451.020446777</v>
      </c>
      <c s="72">
        <v>738860.306213379</v>
      </c>
      <c s="72">
        <v>0.578983173186987</v>
      </c>
      <c s="72">
        <v>-535409.285766602</v>
      </c>
      <c s="72">
        <v>-0.578983173186984</v>
      </c>
      <c s="72">
        <v>-1558150.93988037</v>
      </c>
      <c s="72">
        <v>0.275177473282411</v>
      </c>
      <c s="72">
        <v>-0.275177473282412</v>
      </c>
      <c s="72">
        <v>61885.7624511719</v>
      </c>
      <c s="72">
        <v>-274266.5534375</v>
      </c>
      <c s="72">
        <v>1131240.99804688</v>
      </c>
      <c s="72">
        <v>-274266.5534375</v>
      </c>
      <c s="72">
        <v>-0.651323769696326</v>
      </c>
      <c s="72" t="s">
        <v>408</v>
      </c>
      <c s="73" t="s">
        <v>408</v>
      </c>
      <c s="73" t="s">
        <v>408</v>
      </c>
      <c s="73" t="s">
        <v>408</v>
      </c>
      <c s="73" t="s">
        <v>408</v>
      </c>
      <c s="74" t="s">
        <v>408</v>
      </c>
      <c s="74" t="s">
        <v>408</v>
      </c>
      <c s="69" t="s">
        <v>427</v>
      </c>
      <c s="69" t="s">
        <v>426</v>
      </c>
      <c s="77"/>
    </row>
    <row r="120" spans="1:141" ht="15">
      <c r="A1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v>259620.86640625</v>
      </c>
      <c s="76">
        <v>8</v>
      </c>
      <c s="75" t="s">
        <v>408</v>
      </c>
      <c s="76" t="s">
        <v>408</v>
      </c>
      <c s="75" t="s">
        <v>408</v>
      </c>
      <c s="76" t="s">
        <v>408</v>
      </c>
      <c s="75" t="s">
        <v>408</v>
      </c>
      <c s="76" t="s">
        <v>408</v>
      </c>
      <c s="75" t="s">
        <v>408</v>
      </c>
      <c s="76" t="s">
        <v>408</v>
      </c>
      <c s="75">
        <v>699852.245859375</v>
      </c>
      <c s="76">
        <v>10</v>
      </c>
      <c s="65" t="s">
        <v>494</v>
      </c>
      <c s="65" t="s">
        <v>57</v>
      </c>
      <c s="72" t="s">
        <v>428</v>
      </c>
      <c s="72" t="s">
        <v>426</v>
      </c>
      <c s="72">
        <v>118332520.121765</v>
      </c>
      <c s="72">
        <v>51198422.8744507</v>
      </c>
      <c s="72">
        <v>43.2665701886236</v>
      </c>
      <c s="72">
        <v>67134097.2473145</v>
      </c>
      <c s="72">
        <v>56.7334298113764</v>
      </c>
      <c s="72">
        <v>47600790.5543213</v>
      </c>
      <c s="72">
        <v>0.932468720319711</v>
      </c>
      <c s="72">
        <v>99.0675312796803</v>
      </c>
      <c s="72">
        <v>443862.482543945</v>
      </c>
      <c s="72">
        <v>259620.86640625</v>
      </c>
      <c s="72">
        <v>699852.245859375</v>
      </c>
      <c s="72">
        <v>259620.86640625</v>
      </c>
      <c s="72">
        <v>1.94660457244792</v>
      </c>
      <c s="72">
        <v>854161.99748825</v>
      </c>
      <c s="72" t="s">
        <v>408</v>
      </c>
      <c s="72">
        <v>203451.020446777</v>
      </c>
      <c s="72">
        <v>1341617.51470947</v>
      </c>
      <c s="72">
        <v>1.06120470235247</v>
      </c>
      <c s="72">
        <v>-1138166.4942627</v>
      </c>
      <c s="72">
        <v>-1.06120470235247</v>
      </c>
      <c s="72">
        <v>-1558150.93988037</v>
      </c>
      <c s="72">
        <v>-0.446620576469741</v>
      </c>
      <c s="72">
        <v>0.446620576469741</v>
      </c>
      <c s="72">
        <v>-234083.218017578</v>
      </c>
      <c s="72">
        <v>-190950.207304688</v>
      </c>
      <c s="72">
        <v>-412743.396835937</v>
      </c>
      <c s="72">
        <v>-190950.207304688</v>
      </c>
      <c s="72">
        <v>-0.71871103510151</v>
      </c>
      <c s="72" t="s">
        <v>408</v>
      </c>
      <c s="73" t="s">
        <v>408</v>
      </c>
      <c s="73" t="s">
        <v>408</v>
      </c>
      <c s="73" t="s">
        <v>408</v>
      </c>
      <c s="73" t="s">
        <v>408</v>
      </c>
      <c s="74" t="s">
        <v>408</v>
      </c>
      <c s="74" t="s">
        <v>408</v>
      </c>
      <c s="69" t="s">
        <v>428</v>
      </c>
      <c s="69" t="s">
        <v>426</v>
      </c>
      <c s="77"/>
    </row>
    <row r="121" spans="1:141" ht="15">
      <c r="A1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v>2544943.4509375</v>
      </c>
      <c s="76">
        <v>7</v>
      </c>
      <c s="75" t="s">
        <v>408</v>
      </c>
      <c s="76" t="s">
        <v>408</v>
      </c>
      <c s="75" t="s">
        <v>408</v>
      </c>
      <c s="76" t="s">
        <v>408</v>
      </c>
      <c s="75" t="s">
        <v>408</v>
      </c>
      <c s="76" t="s">
        <v>408</v>
      </c>
      <c s="75" t="s">
        <v>408</v>
      </c>
      <c s="76" t="s">
        <v>408</v>
      </c>
      <c s="75">
        <v>4233963.38828125</v>
      </c>
      <c s="76">
        <v>6</v>
      </c>
      <c s="65" t="s">
        <v>490</v>
      </c>
      <c s="65" t="s">
        <v>57</v>
      </c>
      <c s="72" t="s">
        <v>429</v>
      </c>
      <c s="72" t="s">
        <v>426</v>
      </c>
      <c s="72">
        <v>118332520.121765</v>
      </c>
      <c s="72">
        <v>24007001.600769</v>
      </c>
      <c s="72">
        <v>20.287746408228</v>
      </c>
      <c s="72">
        <v>94325518.5209961</v>
      </c>
      <c s="72">
        <v>79.712253591772</v>
      </c>
      <c s="72">
        <v>47600790.5543213</v>
      </c>
      <c s="72">
        <v>2.08582965833177</v>
      </c>
      <c s="72">
        <v>97.9141703416682</v>
      </c>
      <c s="72">
        <v>992871.406982422</v>
      </c>
      <c s="72">
        <v>2544943.4509375</v>
      </c>
      <c s="72">
        <v>4233963.38828125</v>
      </c>
      <c s="72">
        <v>2544943.4509375</v>
      </c>
      <c s="72">
        <v>9.56961031833432</v>
      </c>
      <c s="72">
        <v>1217980.74470184</v>
      </c>
      <c s="72" t="s">
        <v>408</v>
      </c>
      <c s="72">
        <v>203451.020446777</v>
      </c>
      <c s="72">
        <v>867469.134399414</v>
      </c>
      <c s="72">
        <v>0.699398982478733</v>
      </c>
      <c s="72">
        <v>-664018.113952637</v>
      </c>
      <c s="72">
        <v>-0.699398982478741</v>
      </c>
      <c s="72">
        <v>-1558150.93988037</v>
      </c>
      <c s="72">
        <v>0.0834697730693614</v>
      </c>
      <c s="72">
        <v>-0.0834697730693676</v>
      </c>
      <c s="72">
        <v>8532.48248291016</v>
      </c>
      <c s="72">
        <v>373495.266445313</v>
      </c>
      <c s="72">
        <v>1001154.21191406</v>
      </c>
      <c s="72">
        <v>373495.266445313</v>
      </c>
      <c s="72">
        <v>-0.23787950054423</v>
      </c>
      <c s="72" t="s">
        <v>408</v>
      </c>
      <c s="73" t="s">
        <v>408</v>
      </c>
      <c s="73" t="s">
        <v>408</v>
      </c>
      <c s="73" t="s">
        <v>408</v>
      </c>
      <c s="73" t="s">
        <v>408</v>
      </c>
      <c s="74" t="s">
        <v>408</v>
      </c>
      <c s="74" t="s">
        <v>408</v>
      </c>
      <c s="69" t="s">
        <v>429</v>
      </c>
      <c s="69" t="s">
        <v>426</v>
      </c>
      <c s="77"/>
    </row>
    <row r="122" spans="1:141" ht="15">
      <c r="A1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v>916905.73609375</v>
      </c>
      <c s="76">
        <v>8</v>
      </c>
      <c s="65" t="s">
        <v>495</v>
      </c>
      <c s="65" t="s">
        <v>57</v>
      </c>
      <c s="72" t="s">
        <v>430</v>
      </c>
      <c s="72" t="s">
        <v>426</v>
      </c>
      <c s="72">
        <v>118332520.121765</v>
      </c>
      <c s="72">
        <v>4219156.70227051</v>
      </c>
      <c s="72">
        <v>3.56550904005844</v>
      </c>
      <c s="72">
        <v>114113363.419495</v>
      </c>
      <c s="72">
        <v>96.4344909599416</v>
      </c>
      <c s="72">
        <v>47600790.5543213</v>
      </c>
      <c s="72">
        <v>0.466550120424704</v>
      </c>
      <c s="72">
        <v>99.5334498795753</v>
      </c>
      <c s="72">
        <v>222081.545654297</v>
      </c>
      <c s="72" t="s">
        <v>408</v>
      </c>
      <c s="72">
        <v>916905.73609375</v>
      </c>
      <c s="72" t="s">
        <v>408</v>
      </c>
      <c s="72">
        <v>11.2338798503624</v>
      </c>
      <c s="72">
        <v>227733.047140318</v>
      </c>
      <c s="72" t="s">
        <v>408</v>
      </c>
      <c s="72">
        <v>203451.020446777</v>
      </c>
      <c s="72">
        <v>-92331.1907958984</v>
      </c>
      <c s="72">
        <v>-0.0843020740615557</v>
      </c>
      <c s="72">
        <v>295782.211242676</v>
      </c>
      <c s="72">
        <v>0.0843020740615543</v>
      </c>
      <c s="72">
        <v>-1558150.93988037</v>
      </c>
      <c s="72">
        <v>-0.00604867914508661</v>
      </c>
      <c s="72">
        <v>0.00604867914509555</v>
      </c>
      <c s="72">
        <v>-10243.0217285156</v>
      </c>
      <c s="72" t="s">
        <v>408</v>
      </c>
      <c s="72">
        <v>168847.15703125</v>
      </c>
      <c s="72" t="s">
        <v>408</v>
      </c>
      <c s="72">
        <v>-0.132821498819347</v>
      </c>
      <c s="72" t="s">
        <v>408</v>
      </c>
      <c s="73" t="s">
        <v>408</v>
      </c>
      <c s="73" t="s">
        <v>408</v>
      </c>
      <c s="73" t="s">
        <v>408</v>
      </c>
      <c s="73" t="s">
        <v>408</v>
      </c>
      <c s="74" t="s">
        <v>408</v>
      </c>
      <c s="74" t="s">
        <v>408</v>
      </c>
      <c s="69" t="s">
        <v>430</v>
      </c>
      <c s="69" t="s">
        <v>426</v>
      </c>
      <c s="77"/>
    </row>
    <row r="123" spans="1:141" ht="15">
      <c r="A1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v>76863055.954375</v>
      </c>
      <c s="76">
        <v>1</v>
      </c>
      <c s="75" t="s">
        <v>408</v>
      </c>
      <c s="76" t="s">
        <v>408</v>
      </c>
      <c s="75" t="s">
        <v>408</v>
      </c>
      <c s="76" t="s">
        <v>408</v>
      </c>
      <c s="75" t="s">
        <v>408</v>
      </c>
      <c s="76" t="s">
        <v>408</v>
      </c>
      <c s="75" t="s">
        <v>408</v>
      </c>
      <c s="76" t="s">
        <v>408</v>
      </c>
      <c s="75">
        <v>100585439.396641</v>
      </c>
      <c s="76">
        <v>4</v>
      </c>
      <c s="75" t="s">
        <v>408</v>
      </c>
      <c s="76" t="s">
        <v>408</v>
      </c>
      <c s="75" t="s">
        <v>408</v>
      </c>
      <c s="76" t="s">
        <v>408</v>
      </c>
      <c s="75" t="s">
        <v>408</v>
      </c>
      <c s="76" t="s">
        <v>408</v>
      </c>
      <c s="75" t="s">
        <v>408</v>
      </c>
      <c s="76" t="s">
        <v>408</v>
      </c>
      <c s="65" t="s">
        <v>58</v>
      </c>
      <c s="65" t="s">
        <v>58</v>
      </c>
      <c s="72" t="s">
        <v>419</v>
      </c>
      <c s="72" t="s">
        <v>419</v>
      </c>
      <c s="72">
        <v>118332520.121765</v>
      </c>
      <c s="72">
        <v>92869205.3370361</v>
      </c>
      <c s="72">
        <v>78.4815579364599</v>
      </c>
      <c s="72">
        <v>25463314.784729</v>
      </c>
      <c s="72">
        <v>21.5184420635401</v>
      </c>
      <c s="72">
        <v>47600790.5543213</v>
      </c>
      <c s="72">
        <v>44.1871001769607</v>
      </c>
      <c s="72">
        <v>55.8128998230393</v>
      </c>
      <c s="72">
        <v>21033409.0072632</v>
      </c>
      <c s="72">
        <v>294450571.796641</v>
      </c>
      <c s="72">
        <v>100585439.396641</v>
      </c>
      <c s="72">
        <v>76863055.954375</v>
      </c>
      <c s="72">
        <v>41.3278799879628</v>
      </c>
      <c s="72">
        <v>12425609.3058247</v>
      </c>
      <c s="72" t="s">
        <v>408</v>
      </c>
      <c s="72">
        <v>203451.020446777</v>
      </c>
      <c s="72">
        <v>-654710.354187012</v>
      </c>
      <c s="72">
        <v>-0.689400069658362</v>
      </c>
      <c s="72">
        <v>858161.374633789</v>
      </c>
      <c s="72">
        <v>0.689400069658362</v>
      </c>
      <c s="72">
        <v>-1558150.93988037</v>
      </c>
      <c s="72">
        <v>-0.395520630723318</v>
      </c>
      <c s="72">
        <v>0.395520630723318</v>
      </c>
      <c s="72">
        <v>-882935.472167969</v>
      </c>
      <c s="72">
        <v>24611464.9328516</v>
      </c>
      <c s="72">
        <v>-11487686.2229687</v>
      </c>
      <c s="72">
        <v>9479953.38117185</v>
      </c>
      <c s="72">
        <v>-0.441420895073293</v>
      </c>
      <c s="72" t="s">
        <v>408</v>
      </c>
      <c s="73">
        <v>100585439.396641</v>
      </c>
      <c s="73">
        <v>76863055.954375</v>
      </c>
      <c s="73">
        <v>-11487686.2229687</v>
      </c>
      <c s="73">
        <v>9479953.38117185</v>
      </c>
      <c s="74">
        <v>-0.00158680010952436</v>
      </c>
      <c s="74">
        <v>0.0157493553275485</v>
      </c>
      <c s="69" t="s">
        <v>419</v>
      </c>
      <c s="69" t="s">
        <v>419</v>
      </c>
      <c s="77"/>
    </row>
    <row r="124" spans="1:141" ht="15">
      <c r="A1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v>48113124.2346094</v>
      </c>
      <c s="76">
        <v>1</v>
      </c>
      <c s="75" t="s">
        <v>408</v>
      </c>
      <c s="76" t="s">
        <v>408</v>
      </c>
      <c s="75" t="s">
        <v>408</v>
      </c>
      <c s="76" t="s">
        <v>408</v>
      </c>
      <c s="75" t="s">
        <v>408</v>
      </c>
      <c s="76" t="s">
        <v>408</v>
      </c>
      <c s="75" t="s">
        <v>408</v>
      </c>
      <c s="76" t="s">
        <v>408</v>
      </c>
      <c s="75" t="s">
        <v>408</v>
      </c>
      <c s="76" t="s">
        <v>408</v>
      </c>
      <c s="75" t="s">
        <v>408</v>
      </c>
      <c s="76" t="s">
        <v>408</v>
      </c>
      <c s="75" t="s">
        <v>408</v>
      </c>
      <c s="76" t="s">
        <v>408</v>
      </c>
      <c s="75">
        <v>64612145.6113281</v>
      </c>
      <c s="76">
        <v>1</v>
      </c>
      <c s="65" t="s">
        <v>474</v>
      </c>
      <c s="65" t="s">
        <v>58</v>
      </c>
      <c s="72" t="s">
        <v>431</v>
      </c>
      <c s="72" t="s">
        <v>419</v>
      </c>
      <c s="72">
        <v>118332520.121765</v>
      </c>
      <c s="72">
        <v>51772562.7313843</v>
      </c>
      <c s="72">
        <v>43.751762134458</v>
      </c>
      <c s="72">
        <v>66559957.3903809</v>
      </c>
      <c s="72">
        <v>56.248237865542</v>
      </c>
      <c s="72">
        <v>47600790.5543213</v>
      </c>
      <c s="72">
        <v>16.7287453034944</v>
      </c>
      <c s="72">
        <v>83.2712546965056</v>
      </c>
      <c s="72">
        <v>7963015.01428223</v>
      </c>
      <c s="72">
        <v>48113124.2346094</v>
      </c>
      <c s="72">
        <v>64612145.6113281</v>
      </c>
      <c s="72">
        <v>48113124.2346094</v>
      </c>
      <c s="72">
        <v>32.2319524502703</v>
      </c>
      <c s="72">
        <v>5694721.34867789</v>
      </c>
      <c s="72" t="s">
        <v>408</v>
      </c>
      <c s="72">
        <v>203451.020446777</v>
      </c>
      <c s="72">
        <v>1679543.25927734</v>
      </c>
      <c s="72">
        <v>1.34643391745275</v>
      </c>
      <c s="72">
        <v>-1476092.23883057</v>
      </c>
      <c s="72">
        <v>-1.34643391745275</v>
      </c>
      <c s="72">
        <v>-1558150.93988037</v>
      </c>
      <c s="72">
        <v>1.32147855210938</v>
      </c>
      <c s="72">
        <v>-1.32147855210937</v>
      </c>
      <c s="72">
        <v>388965.766113281</v>
      </c>
      <c s="72">
        <v>6111504.30453125</v>
      </c>
      <c s="72">
        <v>-4283417.88570313</v>
      </c>
      <c s="72">
        <v>6111504.30453125</v>
      </c>
      <c s="72">
        <v>0.624826561362113</v>
      </c>
      <c s="72" t="s">
        <v>408</v>
      </c>
      <c s="73" t="s">
        <v>408</v>
      </c>
      <c s="73" t="s">
        <v>408</v>
      </c>
      <c s="73" t="s">
        <v>408</v>
      </c>
      <c s="73" t="s">
        <v>408</v>
      </c>
      <c s="74" t="s">
        <v>408</v>
      </c>
      <c s="74" t="s">
        <v>408</v>
      </c>
      <c s="69" t="s">
        <v>431</v>
      </c>
      <c s="69" t="s">
        <v>419</v>
      </c>
      <c s="77"/>
    </row>
    <row r="125" spans="1:141" ht="15">
      <c r="A1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496</v>
      </c>
      <c s="65" t="s">
        <v>58</v>
      </c>
      <c s="72" t="s">
        <v>432</v>
      </c>
      <c s="72" t="s">
        <v>419</v>
      </c>
      <c s="72">
        <v>118332520.121765</v>
      </c>
      <c s="72" t="s">
        <v>408</v>
      </c>
      <c s="72" t="s">
        <v>408</v>
      </c>
      <c s="72" t="s">
        <v>408</v>
      </c>
      <c s="72" t="s">
        <v>408</v>
      </c>
      <c s="72">
        <v>47600790.5543213</v>
      </c>
      <c s="72" t="s">
        <v>408</v>
      </c>
      <c s="72" t="s">
        <v>408</v>
      </c>
      <c s="72" t="s">
        <v>408</v>
      </c>
      <c s="72" t="s">
        <v>408</v>
      </c>
      <c s="72" t="s">
        <v>408</v>
      </c>
      <c s="72" t="s">
        <v>408</v>
      </c>
      <c s="72" t="s">
        <v>408</v>
      </c>
      <c s="72" t="s">
        <v>408</v>
      </c>
      <c s="72" t="s">
        <v>408</v>
      </c>
      <c s="72">
        <v>203451.020446777</v>
      </c>
      <c s="72" t="s">
        <v>408</v>
      </c>
      <c s="72" t="s">
        <v>408</v>
      </c>
      <c s="72" t="s">
        <v>408</v>
      </c>
      <c s="72" t="s">
        <v>408</v>
      </c>
      <c s="72">
        <v>-1558150.93988037</v>
      </c>
      <c s="72" t="s">
        <v>408</v>
      </c>
      <c s="72" t="s">
        <v>408</v>
      </c>
      <c s="72" t="s">
        <v>408</v>
      </c>
      <c s="72" t="s">
        <v>408</v>
      </c>
      <c s="72" t="s">
        <v>408</v>
      </c>
      <c s="72" t="s">
        <v>408</v>
      </c>
      <c s="72" t="s">
        <v>408</v>
      </c>
      <c s="72" t="s">
        <v>408</v>
      </c>
      <c s="73" t="s">
        <v>408</v>
      </c>
      <c s="73" t="s">
        <v>408</v>
      </c>
      <c s="73" t="s">
        <v>408</v>
      </c>
      <c s="73" t="s">
        <v>408</v>
      </c>
      <c s="74" t="s">
        <v>408</v>
      </c>
      <c s="74" t="s">
        <v>408</v>
      </c>
      <c s="69" t="s">
        <v>432</v>
      </c>
      <c s="69" t="s">
        <v>419</v>
      </c>
      <c s="77"/>
    </row>
    <row r="126" spans="1:141" ht="15">
      <c r="A1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497</v>
      </c>
      <c s="65" t="s">
        <v>58</v>
      </c>
      <c s="72" t="s">
        <v>433</v>
      </c>
      <c s="72" t="s">
        <v>419</v>
      </c>
      <c s="72">
        <v>118332520.121765</v>
      </c>
      <c s="72">
        <v>494957.536193848</v>
      </c>
      <c s="72">
        <v>0.418276848734847</v>
      </c>
      <c s="72">
        <v>117837562.585571</v>
      </c>
      <c s="72">
        <v>99.5817231512652</v>
      </c>
      <c s="72">
        <v>47600790.5543213</v>
      </c>
      <c s="72" t="s">
        <v>408</v>
      </c>
      <c s="72" t="s">
        <v>408</v>
      </c>
      <c s="72" t="s">
        <v>408</v>
      </c>
      <c s="72" t="s">
        <v>408</v>
      </c>
      <c s="72" t="s">
        <v>408</v>
      </c>
      <c s="72" t="s">
        <v>408</v>
      </c>
      <c s="72" t="s">
        <v>408</v>
      </c>
      <c s="72" t="s">
        <v>408</v>
      </c>
      <c s="72" t="s">
        <v>408</v>
      </c>
      <c s="72">
        <v>203451.020446777</v>
      </c>
      <c s="72">
        <v>-8501.48541259766</v>
      </c>
      <c s="72">
        <v>-0.00791716552140076</v>
      </c>
      <c s="72">
        <v>211952.505859375</v>
      </c>
      <c s="72">
        <v>0.00791716552140542</v>
      </c>
      <c s="72">
        <v>-1558150.93988037</v>
      </c>
      <c s="72" t="s">
        <v>408</v>
      </c>
      <c s="72" t="s">
        <v>408</v>
      </c>
      <c s="72" t="s">
        <v>408</v>
      </c>
      <c s="72" t="s">
        <v>408</v>
      </c>
      <c s="72" t="s">
        <v>408</v>
      </c>
      <c s="72" t="s">
        <v>408</v>
      </c>
      <c s="72" t="s">
        <v>408</v>
      </c>
      <c s="72" t="s">
        <v>408</v>
      </c>
      <c s="73" t="s">
        <v>408</v>
      </c>
      <c s="73" t="s">
        <v>408</v>
      </c>
      <c s="73" t="s">
        <v>408</v>
      </c>
      <c s="73" t="s">
        <v>408</v>
      </c>
      <c s="74" t="s">
        <v>408</v>
      </c>
      <c s="74" t="s">
        <v>408</v>
      </c>
      <c s="69" t="s">
        <v>433</v>
      </c>
      <c s="69" t="s">
        <v>419</v>
      </c>
      <c s="77"/>
    </row>
    <row r="127" spans="1:141" ht="15">
      <c r="A1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v>24633204.7961719</v>
      </c>
      <c s="76">
        <v>2</v>
      </c>
      <c s="75" t="s">
        <v>408</v>
      </c>
      <c s="76" t="s">
        <v>408</v>
      </c>
      <c s="75" t="s">
        <v>408</v>
      </c>
      <c s="76" t="s">
        <v>408</v>
      </c>
      <c s="75" t="s">
        <v>408</v>
      </c>
      <c s="76" t="s">
        <v>408</v>
      </c>
      <c s="75" t="s">
        <v>408</v>
      </c>
      <c s="76" t="s">
        <v>408</v>
      </c>
      <c s="75" t="s">
        <v>408</v>
      </c>
      <c s="76" t="s">
        <v>408</v>
      </c>
      <c s="75" t="s">
        <v>408</v>
      </c>
      <c s="76" t="s">
        <v>408</v>
      </c>
      <c s="75" t="s">
        <v>408</v>
      </c>
      <c s="76" t="s">
        <v>408</v>
      </c>
      <c s="75">
        <v>26567710.4286719</v>
      </c>
      <c s="76">
        <v>3</v>
      </c>
      <c s="65" t="s">
        <v>479</v>
      </c>
      <c s="65" t="s">
        <v>58</v>
      </c>
      <c s="72" t="s">
        <v>434</v>
      </c>
      <c s="72" t="s">
        <v>419</v>
      </c>
      <c s="72">
        <v>118332520.121765</v>
      </c>
      <c s="72">
        <v>26819911.0421753</v>
      </c>
      <c s="72">
        <v>22.6648693145193</v>
      </c>
      <c s="72">
        <v>91512609.0795898</v>
      </c>
      <c s="72">
        <v>77.3351306854807</v>
      </c>
      <c s="72">
        <v>47600790.5543213</v>
      </c>
      <c s="72">
        <v>6.380471006274</v>
      </c>
      <c s="72">
        <v>93.619528993726</v>
      </c>
      <c s="72">
        <v>3037154.64007568</v>
      </c>
      <c s="72">
        <v>24633204.7961719</v>
      </c>
      <c s="72">
        <v>26567710.4286719</v>
      </c>
      <c s="72">
        <v>24633204.7961719</v>
      </c>
      <c s="72">
        <v>26.1356396216241</v>
      </c>
      <c s="72">
        <v>3313026.32628666</v>
      </c>
      <c s="72" t="s">
        <v>408</v>
      </c>
      <c s="72">
        <v>203451.020446777</v>
      </c>
      <c s="72">
        <v>-948082.818481445</v>
      </c>
      <c s="72">
        <v>-0.841617337669909</v>
      </c>
      <c s="72">
        <v>1151533.83892822</v>
      </c>
      <c s="72">
        <v>0.841617337669902</v>
      </c>
      <c s="72">
        <v>-1558150.93988037</v>
      </c>
      <c s="72">
        <v>-0.435660176002775</v>
      </c>
      <c s="72">
        <v>0.43566017600277</v>
      </c>
      <c s="72">
        <v>-313583.299987793</v>
      </c>
      <c s="72">
        <v>2761854.91148438</v>
      </c>
      <c s="72">
        <v>-6605762.57609375</v>
      </c>
      <c s="72">
        <v>2761854.91148438</v>
      </c>
      <c s="72">
        <v>-1.02757664861654</v>
      </c>
      <c s="72" t="s">
        <v>408</v>
      </c>
      <c s="73" t="s">
        <v>408</v>
      </c>
      <c s="73" t="s">
        <v>408</v>
      </c>
      <c s="73" t="s">
        <v>408</v>
      </c>
      <c s="73" t="s">
        <v>408</v>
      </c>
      <c s="74" t="s">
        <v>408</v>
      </c>
      <c s="74" t="s">
        <v>408</v>
      </c>
      <c s="69" t="s">
        <v>434</v>
      </c>
      <c s="69" t="s">
        <v>419</v>
      </c>
      <c s="77"/>
    </row>
    <row r="128" spans="1:141" ht="15">
      <c r="A1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v>68652093.9317188</v>
      </c>
      <c s="76">
        <v>2</v>
      </c>
      <c s="75" t="s">
        <v>408</v>
      </c>
      <c s="76" t="s">
        <v>408</v>
      </c>
      <c s="75" t="s">
        <v>408</v>
      </c>
      <c s="76" t="s">
        <v>408</v>
      </c>
      <c s="75" t="s">
        <v>408</v>
      </c>
      <c s="76" t="s">
        <v>408</v>
      </c>
      <c s="75" t="s">
        <v>408</v>
      </c>
      <c s="76" t="s">
        <v>408</v>
      </c>
      <c s="75">
        <v>161545298.221289</v>
      </c>
      <c s="76">
        <v>2</v>
      </c>
      <c s="75" t="s">
        <v>408</v>
      </c>
      <c s="76" t="s">
        <v>408</v>
      </c>
      <c s="75" t="s">
        <v>408</v>
      </c>
      <c s="76" t="s">
        <v>408</v>
      </c>
      <c s="75" t="s">
        <v>408</v>
      </c>
      <c s="76" t="s">
        <v>408</v>
      </c>
      <c s="75" t="s">
        <v>408</v>
      </c>
      <c s="76" t="s">
        <v>408</v>
      </c>
      <c s="65" t="s">
        <v>59</v>
      </c>
      <c s="65" t="s">
        <v>59</v>
      </c>
      <c s="72" t="s">
        <v>435</v>
      </c>
      <c s="72" t="s">
        <v>435</v>
      </c>
      <c s="72">
        <v>118332520.121765</v>
      </c>
      <c s="72">
        <v>116527031.579956</v>
      </c>
      <c s="72">
        <v>98.4742245496409</v>
      </c>
      <c s="72">
        <v>1805488.54180908</v>
      </c>
      <c s="72">
        <v>1.52577545035906</v>
      </c>
      <c s="72">
        <v>47600790.5543213</v>
      </c>
      <c s="72">
        <v>36.5418928823415</v>
      </c>
      <c s="72">
        <v>63.4581071176585</v>
      </c>
      <c s="72">
        <v>17394229.8955078</v>
      </c>
      <c s="72">
        <v>68652093.9317188</v>
      </c>
      <c s="72">
        <v>161545298.221289</v>
      </c>
      <c s="72">
        <v>68652093.9317188</v>
      </c>
      <c s="72">
        <v>37.5844014205915</v>
      </c>
      <c s="72">
        <v>11267854.12847</v>
      </c>
      <c s="72" t="s">
        <v>408</v>
      </c>
      <c s="72">
        <v>203451.020446777</v>
      </c>
      <c s="72">
        <v>155204.85345459</v>
      </c>
      <c s="72">
        <v>-0.0382141005699452</v>
      </c>
      <c s="72">
        <v>48246.1669921875</v>
      </c>
      <c s="72">
        <v>0.0382141005699452</v>
      </c>
      <c s="72">
        <v>-1558150.93988037</v>
      </c>
      <c s="72">
        <v>-2.52252763865848</v>
      </c>
      <c s="72">
        <v>2.52252763865848</v>
      </c>
      <c s="72">
        <v>-1809425.73345947</v>
      </c>
      <c s="72">
        <v>-8527706.66109374</v>
      </c>
      <c s="72">
        <v>-18916806.2953125</v>
      </c>
      <c s="72">
        <v>-8527706.66109374</v>
      </c>
      <c s="72">
        <v>-2.23573112575667</v>
      </c>
      <c s="72" t="s">
        <v>408</v>
      </c>
      <c s="73">
        <v>161545298.221289</v>
      </c>
      <c s="73">
        <v>68652093.9317188</v>
      </c>
      <c s="73">
        <v>-18916806.2953125</v>
      </c>
      <c s="73">
        <v>-8527706.66109374</v>
      </c>
      <c s="74">
        <v>-0.00318449771213666</v>
      </c>
      <c s="74">
        <v>-0.0204926277338773</v>
      </c>
      <c s="69" t="s">
        <v>435</v>
      </c>
      <c s="69" t="s">
        <v>435</v>
      </c>
      <c s="77"/>
    </row>
    <row r="129" spans="1:141" ht="15">
      <c r="A1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498</v>
      </c>
      <c s="65" t="s">
        <v>59</v>
      </c>
      <c s="72" t="s">
        <v>436</v>
      </c>
      <c s="72" t="s">
        <v>435</v>
      </c>
      <c s="72">
        <v>118332520.121765</v>
      </c>
      <c s="72">
        <v>1492669.7220459</v>
      </c>
      <c s="72">
        <v>1.26141970145648</v>
      </c>
      <c s="72">
        <v>116839850.399719</v>
      </c>
      <c s="72">
        <v>98.7385802985435</v>
      </c>
      <c s="72">
        <v>47600790.5543213</v>
      </c>
      <c s="72" t="s">
        <v>408</v>
      </c>
      <c s="72" t="s">
        <v>408</v>
      </c>
      <c s="72" t="s">
        <v>408</v>
      </c>
      <c s="72" t="s">
        <v>408</v>
      </c>
      <c s="72" t="s">
        <v>408</v>
      </c>
      <c s="72" t="s">
        <v>408</v>
      </c>
      <c s="72" t="s">
        <v>408</v>
      </c>
      <c s="72" t="s">
        <v>408</v>
      </c>
      <c s="72" t="s">
        <v>408</v>
      </c>
      <c s="72">
        <v>203451.020446777</v>
      </c>
      <c s="72">
        <v>-227117.707824707</v>
      </c>
      <c s="72">
        <v>-0.194434850648352</v>
      </c>
      <c s="72">
        <v>430568.728271484</v>
      </c>
      <c s="72">
        <v>0.194434850648349</v>
      </c>
      <c s="72">
        <v>-1558150.93988037</v>
      </c>
      <c s="72" t="s">
        <v>408</v>
      </c>
      <c s="72" t="s">
        <v>408</v>
      </c>
      <c s="72" t="s">
        <v>408</v>
      </c>
      <c s="72" t="s">
        <v>408</v>
      </c>
      <c s="72" t="s">
        <v>408</v>
      </c>
      <c s="72" t="s">
        <v>408</v>
      </c>
      <c s="72" t="s">
        <v>408</v>
      </c>
      <c s="72" t="s">
        <v>408</v>
      </c>
      <c s="73" t="s">
        <v>408</v>
      </c>
      <c s="73" t="s">
        <v>408</v>
      </c>
      <c s="73" t="s">
        <v>408</v>
      </c>
      <c s="73" t="s">
        <v>408</v>
      </c>
      <c s="74" t="s">
        <v>408</v>
      </c>
      <c s="74" t="s">
        <v>408</v>
      </c>
      <c s="69" t="s">
        <v>436</v>
      </c>
      <c s="69" t="s">
        <v>435</v>
      </c>
      <c s="77"/>
    </row>
    <row r="130" spans="1:141" ht="15">
      <c r="A1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v>2693536.8515625</v>
      </c>
      <c s="76">
        <v>3</v>
      </c>
      <c s="75" t="s">
        <v>408</v>
      </c>
      <c s="76" t="s">
        <v>408</v>
      </c>
      <c s="75" t="s">
        <v>408</v>
      </c>
      <c s="76" t="s">
        <v>408</v>
      </c>
      <c s="75" t="s">
        <v>408</v>
      </c>
      <c s="76" t="s">
        <v>408</v>
      </c>
      <c s="75" t="s">
        <v>408</v>
      </c>
      <c s="76" t="s">
        <v>408</v>
      </c>
      <c s="75">
        <v>4330943.74804688</v>
      </c>
      <c s="76">
        <v>4</v>
      </c>
      <c s="75" t="s">
        <v>408</v>
      </c>
      <c s="76" t="s">
        <v>408</v>
      </c>
      <c s="75" t="s">
        <v>408</v>
      </c>
      <c s="76" t="s">
        <v>408</v>
      </c>
      <c s="65" t="s">
        <v>483</v>
      </c>
      <c s="65" t="s">
        <v>59</v>
      </c>
      <c s="72" t="s">
        <v>437</v>
      </c>
      <c s="72" t="s">
        <v>435</v>
      </c>
      <c s="72">
        <v>118332520.121765</v>
      </c>
      <c s="72">
        <v>13263126.3366089</v>
      </c>
      <c s="72">
        <v>11.2083528035751</v>
      </c>
      <c s="72">
        <v>105069393.785156</v>
      </c>
      <c s="72">
        <v>88.7916471964249</v>
      </c>
      <c s="72">
        <v>47600790.5543213</v>
      </c>
      <c s="72">
        <v>1.29250564061738</v>
      </c>
      <c s="72">
        <v>98.7074943593826</v>
      </c>
      <c s="72">
        <v>615242.902893066</v>
      </c>
      <c s="72">
        <v>2693536.8515625</v>
      </c>
      <c s="72">
        <v>4330943.74804688</v>
      </c>
      <c s="72">
        <v>2693536.8515625</v>
      </c>
      <c s="72">
        <v>11.1496484027971</v>
      </c>
      <c s="72">
        <v>1089286.94837532</v>
      </c>
      <c s="72" t="s">
        <v>408</v>
      </c>
      <c s="72">
        <v>203451.020446777</v>
      </c>
      <c s="72">
        <v>-630051.152404785</v>
      </c>
      <c s="72">
        <v>-0.552662156339341</v>
      </c>
      <c s="72">
        <v>833502.172851563</v>
      </c>
      <c s="72">
        <v>0.552662156339352</v>
      </c>
      <c s="72">
        <v>-1558150.93988037</v>
      </c>
      <c s="72">
        <v>-0.340819471556604</v>
      </c>
      <c s="72">
        <v>0.3408194715566</v>
      </c>
      <c s="72">
        <v>-187682.433410645</v>
      </c>
      <c s="72">
        <v>-72901.9990625</v>
      </c>
      <c s="72">
        <v>-1673560.78960938</v>
      </c>
      <c s="72">
        <v>-72901.9990625</v>
      </c>
      <c s="72">
        <v>-0.81038455589958</v>
      </c>
      <c s="72" t="s">
        <v>408</v>
      </c>
      <c s="73" t="s">
        <v>408</v>
      </c>
      <c s="73" t="s">
        <v>408</v>
      </c>
      <c s="73" t="s">
        <v>408</v>
      </c>
      <c s="73" t="s">
        <v>408</v>
      </c>
      <c s="74" t="s">
        <v>408</v>
      </c>
      <c s="74" t="s">
        <v>408</v>
      </c>
      <c s="69" t="s">
        <v>437</v>
      </c>
      <c s="69" t="s">
        <v>435</v>
      </c>
      <c s="77"/>
    </row>
    <row r="131" spans="1:141" ht="15">
      <c r="A1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v>1147552.7371875</v>
      </c>
      <c s="76">
        <v>5</v>
      </c>
      <c s="75" t="s">
        <v>408</v>
      </c>
      <c s="76" t="s">
        <v>408</v>
      </c>
      <c s="75" t="s">
        <v>408</v>
      </c>
      <c s="76" t="s">
        <v>408</v>
      </c>
      <c s="65" t="s">
        <v>488</v>
      </c>
      <c s="65" t="s">
        <v>59</v>
      </c>
      <c s="72" t="s">
        <v>438</v>
      </c>
      <c s="72" t="s">
        <v>435</v>
      </c>
      <c s="72">
        <v>118332520.121765</v>
      </c>
      <c s="72">
        <v>21635640.5514526</v>
      </c>
      <c s="72">
        <v>18.2837655525205</v>
      </c>
      <c s="72">
        <v>96696879.5703125</v>
      </c>
      <c s="72">
        <v>81.7162344474795</v>
      </c>
      <c s="72">
        <v>47600790.5543213</v>
      </c>
      <c s="72">
        <v>0.649475804436067</v>
      </c>
      <c s="72">
        <v>99.3505241955639</v>
      </c>
      <c s="72">
        <v>309155.617370605</v>
      </c>
      <c s="72" t="s">
        <v>408</v>
      </c>
      <c s="72">
        <v>1147552.7371875</v>
      </c>
      <c s="72" t="s">
        <v>408</v>
      </c>
      <c s="72">
        <v>3.51542291577845</v>
      </c>
      <c s="72">
        <v>670232.619110994</v>
      </c>
      <c s="72" t="s">
        <v>408</v>
      </c>
      <c s="72">
        <v>203451.020446777</v>
      </c>
      <c s="72">
        <v>1746349.73632813</v>
      </c>
      <c s="72">
        <v>1.44685067082811</v>
      </c>
      <c s="72">
        <v>-1542898.71588135</v>
      </c>
      <c s="72">
        <v>-1.44685067082811</v>
      </c>
      <c s="72">
        <v>-1558150.93988037</v>
      </c>
      <c s="72">
        <v>-0.00483043584073994</v>
      </c>
      <c s="72">
        <v>0.00483043584074494</v>
      </c>
      <c s="72">
        <v>-12494.4044799805</v>
      </c>
      <c s="72" t="s">
        <v>408</v>
      </c>
      <c s="72">
        <v>-175857.8359375</v>
      </c>
      <c s="72" t="s">
        <v>408</v>
      </c>
      <c s="72">
        <v>0.267734181254126</v>
      </c>
      <c s="72" t="s">
        <v>408</v>
      </c>
      <c s="73" t="s">
        <v>408</v>
      </c>
      <c s="73" t="s">
        <v>408</v>
      </c>
      <c s="73" t="s">
        <v>408</v>
      </c>
      <c s="73" t="s">
        <v>408</v>
      </c>
      <c s="74" t="s">
        <v>408</v>
      </c>
      <c s="74" t="s">
        <v>408</v>
      </c>
      <c s="69" t="s">
        <v>438</v>
      </c>
      <c s="69" t="s">
        <v>435</v>
      </c>
      <c s="77"/>
    </row>
    <row r="132" spans="1:141" ht="15">
      <c r="A1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v>9606787.74203125</v>
      </c>
      <c s="76">
        <v>1</v>
      </c>
      <c s="75" t="s">
        <v>408</v>
      </c>
      <c s="76" t="s">
        <v>408</v>
      </c>
      <c s="75" t="s">
        <v>408</v>
      </c>
      <c s="76" t="s">
        <v>408</v>
      </c>
      <c s="75" t="s">
        <v>408</v>
      </c>
      <c s="76" t="s">
        <v>408</v>
      </c>
      <c s="75" t="s">
        <v>408</v>
      </c>
      <c s="76" t="s">
        <v>408</v>
      </c>
      <c s="75">
        <v>24219991.7334375</v>
      </c>
      <c s="76">
        <v>1</v>
      </c>
      <c s="75" t="s">
        <v>408</v>
      </c>
      <c s="76" t="s">
        <v>408</v>
      </c>
      <c s="75" t="s">
        <v>408</v>
      </c>
      <c s="76" t="s">
        <v>408</v>
      </c>
      <c s="65" t="s">
        <v>475</v>
      </c>
      <c s="65" t="s">
        <v>59</v>
      </c>
      <c s="72" t="s">
        <v>439</v>
      </c>
      <c s="72" t="s">
        <v>435</v>
      </c>
      <c s="72">
        <v>118332520.121765</v>
      </c>
      <c s="72">
        <v>21961141.5050049</v>
      </c>
      <c s="72">
        <v>18.5588386712348</v>
      </c>
      <c s="72">
        <v>96371378.6167603</v>
      </c>
      <c s="72">
        <v>81.4411613287652</v>
      </c>
      <c s="72">
        <v>47600790.5543213</v>
      </c>
      <c s="72">
        <v>5.96446238534994</v>
      </c>
      <c s="72">
        <v>94.0355376146501</v>
      </c>
      <c s="72">
        <v>2839131.2477417</v>
      </c>
      <c s="72">
        <v>9606787.74203125</v>
      </c>
      <c s="72">
        <v>24219991.7334375</v>
      </c>
      <c s="72">
        <v>9606787.74203125</v>
      </c>
      <c s="72">
        <v>28.964064349528</v>
      </c>
      <c s="72">
        <v>1995930.84327404</v>
      </c>
      <c s="72" t="s">
        <v>408</v>
      </c>
      <c s="72">
        <v>203451.020446777</v>
      </c>
      <c s="72">
        <v>188702.848693848</v>
      </c>
      <c s="72">
        <v>0.127779473064912</v>
      </c>
      <c s="72">
        <v>14748.1717529297</v>
      </c>
      <c s="72">
        <v>-0.127779473064905</v>
      </c>
      <c s="72">
        <v>-1558150.93988037</v>
      </c>
      <c s="72">
        <v>-0.45174086065679</v>
      </c>
      <c s="72">
        <v>0.451740860656798</v>
      </c>
      <c s="72">
        <v>-315006.352111816</v>
      </c>
      <c s="72">
        <v>-2020330.4125</v>
      </c>
      <c s="72">
        <v>-1024781.0515625</v>
      </c>
      <c s="72">
        <v>-2020330.4125</v>
      </c>
      <c s="72">
        <v>-2.45999678662468</v>
      </c>
      <c s="72" t="s">
        <v>408</v>
      </c>
      <c s="73" t="s">
        <v>408</v>
      </c>
      <c s="73" t="s">
        <v>408</v>
      </c>
      <c s="73" t="s">
        <v>408</v>
      </c>
      <c s="73" t="s">
        <v>408</v>
      </c>
      <c s="74" t="s">
        <v>408</v>
      </c>
      <c s="74" t="s">
        <v>408</v>
      </c>
      <c s="69" t="s">
        <v>439</v>
      </c>
      <c s="69" t="s">
        <v>435</v>
      </c>
      <c s="77"/>
    </row>
    <row r="133" spans="1:141" ht="15">
      <c r="A1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v>3266935.60015625</v>
      </c>
      <c s="76">
        <v>2</v>
      </c>
      <c s="75" t="s">
        <v>408</v>
      </c>
      <c s="76" t="s">
        <v>408</v>
      </c>
      <c s="75" t="s">
        <v>408</v>
      </c>
      <c s="76" t="s">
        <v>408</v>
      </c>
      <c s="75" t="s">
        <v>408</v>
      </c>
      <c s="76" t="s">
        <v>408</v>
      </c>
      <c s="75" t="s">
        <v>408</v>
      </c>
      <c s="76" t="s">
        <v>408</v>
      </c>
      <c s="75">
        <v>11928887.3397656</v>
      </c>
      <c s="76">
        <v>2</v>
      </c>
      <c s="75" t="s">
        <v>408</v>
      </c>
      <c s="76" t="s">
        <v>408</v>
      </c>
      <c s="75" t="s">
        <v>408</v>
      </c>
      <c s="76" t="s">
        <v>408</v>
      </c>
      <c s="65" t="s">
        <v>480</v>
      </c>
      <c s="65" t="s">
        <v>59</v>
      </c>
      <c s="72" t="s">
        <v>440</v>
      </c>
      <c s="72" t="s">
        <v>435</v>
      </c>
      <c s="72">
        <v>118332520.121765</v>
      </c>
      <c s="72">
        <v>8437697.46807861</v>
      </c>
      <c s="72">
        <v>7.13049756685326</v>
      </c>
      <c s="72">
        <v>109894822.653687</v>
      </c>
      <c s="72">
        <v>92.8695024331467</v>
      </c>
      <c s="72">
        <v>47600790.5543213</v>
      </c>
      <c s="72">
        <v>2.3485867237337</v>
      </c>
      <c s="72">
        <v>97.6514132762663</v>
      </c>
      <c s="72">
        <v>1117945.84735107</v>
      </c>
      <c s="72">
        <v>3266935.60015625</v>
      </c>
      <c s="72">
        <v>11928887.3397656</v>
      </c>
      <c s="72">
        <v>3266935.60015625</v>
      </c>
      <c s="72">
        <v>32.0721041927827</v>
      </c>
      <c s="72">
        <v>885984.955616353</v>
      </c>
      <c s="72" t="s">
        <v>408</v>
      </c>
      <c s="72">
        <v>203451.020446777</v>
      </c>
      <c s="72">
        <v>-88837.3253173828</v>
      </c>
      <c s="72">
        <v>-0.0874843052317971</v>
      </c>
      <c s="72">
        <v>292288.34576416</v>
      </c>
      <c s="72">
        <v>0.0874843052317971</v>
      </c>
      <c s="72">
        <v>-1558150.93988037</v>
      </c>
      <c s="72">
        <v>-0.132347590978227</v>
      </c>
      <c s="72">
        <v>0.132347590978227</v>
      </c>
      <c s="72">
        <v>-101655.200927734</v>
      </c>
      <c s="72">
        <v>-415317.30640625</v>
      </c>
      <c s="72">
        <v>-1215685.41117187</v>
      </c>
      <c s="72">
        <v>-415317.30640625</v>
      </c>
      <c s="72">
        <v>1.07836743754784</v>
      </c>
      <c s="72" t="s">
        <v>408</v>
      </c>
      <c s="73" t="s">
        <v>408</v>
      </c>
      <c s="73" t="s">
        <v>408</v>
      </c>
      <c s="73" t="s">
        <v>408</v>
      </c>
      <c s="73" t="s">
        <v>408</v>
      </c>
      <c s="74" t="s">
        <v>408</v>
      </c>
      <c s="74" t="s">
        <v>408</v>
      </c>
      <c s="69" t="s">
        <v>440</v>
      </c>
      <c s="69" t="s">
        <v>435</v>
      </c>
      <c s="77"/>
    </row>
    <row r="134" spans="1:141" ht="15">
      <c r="A1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v>2296829.99796875</v>
      </c>
      <c s="76">
        <v>4</v>
      </c>
      <c s="75" t="s">
        <v>408</v>
      </c>
      <c s="76" t="s">
        <v>408</v>
      </c>
      <c s="75" t="s">
        <v>408</v>
      </c>
      <c s="76" t="s">
        <v>408</v>
      </c>
      <c s="75" t="s">
        <v>408</v>
      </c>
      <c s="76" t="s">
        <v>408</v>
      </c>
      <c s="75" t="s">
        <v>408</v>
      </c>
      <c s="76" t="s">
        <v>408</v>
      </c>
      <c s="75">
        <v>6077403.0778125</v>
      </c>
      <c s="76">
        <v>3</v>
      </c>
      <c s="75" t="s">
        <v>408</v>
      </c>
      <c s="76" t="s">
        <v>408</v>
      </c>
      <c s="75" t="s">
        <v>408</v>
      </c>
      <c s="76" t="s">
        <v>408</v>
      </c>
      <c s="65" t="s">
        <v>485</v>
      </c>
      <c s="65" t="s">
        <v>59</v>
      </c>
      <c s="72" t="s">
        <v>441</v>
      </c>
      <c s="72" t="s">
        <v>435</v>
      </c>
      <c s="72">
        <v>118332520.121765</v>
      </c>
      <c s="72">
        <v>13183105.1682739</v>
      </c>
      <c s="72">
        <v>11.1407288163122</v>
      </c>
      <c s="72">
        <v>105149414.953491</v>
      </c>
      <c s="72">
        <v>88.8592711836878</v>
      </c>
      <c s="72">
        <v>47600790.5543213</v>
      </c>
      <c s="72">
        <v>1.42880538001974</v>
      </c>
      <c s="72">
        <v>98.5711946199803</v>
      </c>
      <c s="72">
        <v>680122.65637207</v>
      </c>
      <c s="72">
        <v>2296829.99796875</v>
      </c>
      <c s="72">
        <v>6077403.0778125</v>
      </c>
      <c s="72">
        <v>2296829.99796875</v>
      </c>
      <c s="72">
        <v>14.5207414357814</v>
      </c>
      <c s="72">
        <v>1191101.02348619</v>
      </c>
      <c s="72" t="s">
        <v>408</v>
      </c>
      <c s="72">
        <v>203451.020446777</v>
      </c>
      <c s="72">
        <v>11403.7123413086</v>
      </c>
      <c s="72">
        <v>-0.00953382110463252</v>
      </c>
      <c s="72">
        <v>192047.308105469</v>
      </c>
      <c s="72">
        <v>0.00953382110462542</v>
      </c>
      <c s="72">
        <v>-1558150.93988037</v>
      </c>
      <c s="72">
        <v>-0.0574451925737627</v>
      </c>
      <c s="72">
        <v>0.0574451925737662</v>
      </c>
      <c s="72">
        <v>-50502.3930664063</v>
      </c>
      <c s="72">
        <v>-194051.81640625</v>
      </c>
      <c s="72">
        <v>-819229.838593749</v>
      </c>
      <c s="72">
        <v>-194051.81640625</v>
      </c>
      <c s="72">
        <v>-0.814939578856103</v>
      </c>
      <c s="72" t="s">
        <v>408</v>
      </c>
      <c s="73" t="s">
        <v>408</v>
      </c>
      <c s="73" t="s">
        <v>408</v>
      </c>
      <c s="73" t="s">
        <v>408</v>
      </c>
      <c s="73" t="s">
        <v>408</v>
      </c>
      <c s="74" t="s">
        <v>408</v>
      </c>
      <c s="74" t="s">
        <v>408</v>
      </c>
      <c s="69" t="s">
        <v>441</v>
      </c>
      <c s="69" t="s">
        <v>435</v>
      </c>
      <c s="77"/>
    </row>
    <row r="135" spans="1:141" ht="15">
      <c r="A1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499</v>
      </c>
      <c s="65" t="s">
        <v>59</v>
      </c>
      <c s="72" t="s">
        <v>442</v>
      </c>
      <c s="72" t="s">
        <v>435</v>
      </c>
      <c s="72">
        <v>118332520.121765</v>
      </c>
      <c s="72">
        <v>11239241.6190186</v>
      </c>
      <c s="72">
        <v>9.49801593632358</v>
      </c>
      <c s="72">
        <v>107093278.502747</v>
      </c>
      <c s="72">
        <v>90.5019840636764</v>
      </c>
      <c s="72">
        <v>47600790.5543213</v>
      </c>
      <c s="72" t="s">
        <v>408</v>
      </c>
      <c s="72" t="s">
        <v>408</v>
      </c>
      <c s="72" t="s">
        <v>408</v>
      </c>
      <c s="72" t="s">
        <v>408</v>
      </c>
      <c s="72" t="s">
        <v>408</v>
      </c>
      <c s="72" t="s">
        <v>408</v>
      </c>
      <c s="72">
        <v>1.46687301132916</v>
      </c>
      <c s="72">
        <v>441095.436465621</v>
      </c>
      <c s="72" t="s">
        <v>408</v>
      </c>
      <c s="72">
        <v>203451.020446777</v>
      </c>
      <c s="72">
        <v>711100.143798828</v>
      </c>
      <c s="72">
        <v>0.585610585706766</v>
      </c>
      <c s="72">
        <v>-507649.123352051</v>
      </c>
      <c s="72">
        <v>-0.585610585706775</v>
      </c>
      <c s="72">
        <v>-1558150.93988037</v>
      </c>
      <c s="72" t="s">
        <v>408</v>
      </c>
      <c s="72" t="s">
        <v>408</v>
      </c>
      <c s="72" t="s">
        <v>408</v>
      </c>
      <c s="72" t="s">
        <v>408</v>
      </c>
      <c s="72" t="s">
        <v>408</v>
      </c>
      <c s="72" t="s">
        <v>408</v>
      </c>
      <c s="72">
        <v>-0.414297792407342</v>
      </c>
      <c s="72" t="s">
        <v>408</v>
      </c>
      <c s="73" t="s">
        <v>408</v>
      </c>
      <c s="73" t="s">
        <v>408</v>
      </c>
      <c s="73" t="s">
        <v>408</v>
      </c>
      <c s="73" t="s">
        <v>408</v>
      </c>
      <c s="74" t="s">
        <v>408</v>
      </c>
      <c s="74" t="s">
        <v>408</v>
      </c>
      <c s="69" t="s">
        <v>442</v>
      </c>
      <c s="69" t="s">
        <v>435</v>
      </c>
      <c s="77"/>
    </row>
    <row r="136" spans="1:141" ht="15">
      <c r="A1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500</v>
      </c>
      <c s="65" t="s">
        <v>59</v>
      </c>
      <c s="72" t="s">
        <v>443</v>
      </c>
      <c s="72" t="s">
        <v>435</v>
      </c>
      <c s="72">
        <v>118332520.121765</v>
      </c>
      <c s="72">
        <v>1848619.98944092</v>
      </c>
      <c s="72">
        <v>1.56222481152153</v>
      </c>
      <c s="72">
        <v>116483900.132324</v>
      </c>
      <c s="72">
        <v>98.4377751884785</v>
      </c>
      <c s="72">
        <v>47600790.5543213</v>
      </c>
      <c s="72">
        <v>0.184623637701776</v>
      </c>
      <c s="72">
        <v>99.8153763622982</v>
      </c>
      <c s="72">
        <v>87882.3110961914</v>
      </c>
      <c s="72" t="s">
        <v>408</v>
      </c>
      <c s="72" t="s">
        <v>408</v>
      </c>
      <c s="72" t="s">
        <v>408</v>
      </c>
      <c s="72">
        <v>11.8002231956674</v>
      </c>
      <c s="72">
        <v>144960.244123544</v>
      </c>
      <c s="72" t="s">
        <v>408</v>
      </c>
      <c s="72">
        <v>203451.020446777</v>
      </c>
      <c s="72">
        <v>83308.2944335938</v>
      </c>
      <c s="72">
        <v>0.0678325265089101</v>
      </c>
      <c s="72">
        <v>120142.726013184</v>
      </c>
      <c s="72">
        <v>-0.0678325265089086</v>
      </c>
      <c s="72">
        <v>-1558150.93988037</v>
      </c>
      <c s="72">
        <v>0.0295136370984556</v>
      </c>
      <c s="72">
        <v>-0.0295136370984608</v>
      </c>
      <c s="72">
        <v>11631.8766479492</v>
      </c>
      <c s="72" t="s">
        <v>408</v>
      </c>
      <c s="72" t="s">
        <v>408</v>
      </c>
      <c s="72" t="s">
        <v>408</v>
      </c>
      <c s="72">
        <v>0.462488387454888</v>
      </c>
      <c s="72" t="s">
        <v>408</v>
      </c>
      <c s="73" t="s">
        <v>408</v>
      </c>
      <c s="73" t="s">
        <v>408</v>
      </c>
      <c s="73" t="s">
        <v>408</v>
      </c>
      <c s="73" t="s">
        <v>408</v>
      </c>
      <c s="74" t="s">
        <v>408</v>
      </c>
      <c s="74" t="s">
        <v>408</v>
      </c>
      <c s="69" t="s">
        <v>443</v>
      </c>
      <c s="69" t="s">
        <v>435</v>
      </c>
      <c s="77"/>
    </row>
    <row r="137" spans="1:141" ht="15">
      <c r="A1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501</v>
      </c>
      <c s="65" t="s">
        <v>59</v>
      </c>
      <c s="72" t="s">
        <v>444</v>
      </c>
      <c s="72" t="s">
        <v>435</v>
      </c>
      <c s="72">
        <v>118332520.121765</v>
      </c>
      <c s="72">
        <v>12361089.3377075</v>
      </c>
      <c s="72">
        <v>10.4460627771536</v>
      </c>
      <c s="72">
        <v>105971430.784058</v>
      </c>
      <c s="72">
        <v>89.5539372228464</v>
      </c>
      <c s="72">
        <v>47600790.5543213</v>
      </c>
      <c s="72" t="s">
        <v>408</v>
      </c>
      <c s="72" t="s">
        <v>408</v>
      </c>
      <c s="72" t="s">
        <v>408</v>
      </c>
      <c s="72" t="s">
        <v>408</v>
      </c>
      <c s="72" t="s">
        <v>408</v>
      </c>
      <c s="72" t="s">
        <v>408</v>
      </c>
      <c s="72" t="s">
        <v>408</v>
      </c>
      <c s="72" t="s">
        <v>408</v>
      </c>
      <c s="72" t="s">
        <v>408</v>
      </c>
      <c s="72">
        <v>203451.020446777</v>
      </c>
      <c s="72">
        <v>279652.848937988</v>
      </c>
      <c s="72">
        <v>0.218743980281205</v>
      </c>
      <c s="72">
        <v>-76201.8284912109</v>
      </c>
      <c s="72">
        <v>-0.218743980281204</v>
      </c>
      <c s="72">
        <v>-1558150.93988037</v>
      </c>
      <c s="72" t="s">
        <v>408</v>
      </c>
      <c s="72" t="s">
        <v>408</v>
      </c>
      <c s="72" t="s">
        <v>408</v>
      </c>
      <c s="72" t="s">
        <v>408</v>
      </c>
      <c s="72" t="s">
        <v>408</v>
      </c>
      <c s="72" t="s">
        <v>408</v>
      </c>
      <c s="72" t="s">
        <v>408</v>
      </c>
      <c s="72" t="s">
        <v>408</v>
      </c>
      <c s="73" t="s">
        <v>408</v>
      </c>
      <c s="73" t="s">
        <v>408</v>
      </c>
      <c s="73" t="s">
        <v>408</v>
      </c>
      <c s="73" t="s">
        <v>408</v>
      </c>
      <c s="74" t="s">
        <v>408</v>
      </c>
      <c s="74" t="s">
        <v>408</v>
      </c>
      <c s="69" t="s">
        <v>444</v>
      </c>
      <c s="69" t="s">
        <v>435</v>
      </c>
      <c s="77"/>
    </row>
    <row r="138" spans="1:141" ht="15">
      <c r="A1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502</v>
      </c>
      <c s="65" t="s">
        <v>59</v>
      </c>
      <c s="72" t="s">
        <v>445</v>
      </c>
      <c s="72" t="s">
        <v>435</v>
      </c>
      <c s="72">
        <v>118332520.121765</v>
      </c>
      <c s="72">
        <v>7410099.70892334</v>
      </c>
      <c s="72">
        <v>6.26209912651086</v>
      </c>
      <c s="72">
        <v>110922420.412842</v>
      </c>
      <c s="72">
        <v>93.7379008734891</v>
      </c>
      <c s="72">
        <v>47600790.5543213</v>
      </c>
      <c s="72" t="s">
        <v>408</v>
      </c>
      <c s="72" t="s">
        <v>408</v>
      </c>
      <c s="72" t="s">
        <v>408</v>
      </c>
      <c s="72" t="s">
        <v>408</v>
      </c>
      <c s="72" t="s">
        <v>408</v>
      </c>
      <c s="72" t="s">
        <v>408</v>
      </c>
      <c s="72" t="s">
        <v>408</v>
      </c>
      <c s="72" t="s">
        <v>408</v>
      </c>
      <c s="72" t="s">
        <v>408</v>
      </c>
      <c s="72">
        <v>203451.020446777</v>
      </c>
      <c s="72">
        <v>327488.384460449</v>
      </c>
      <c s="72">
        <v>0.266444222646178</v>
      </c>
      <c s="72">
        <v>-124037.364013672</v>
      </c>
      <c s="72">
        <v>-0.266444222646186</v>
      </c>
      <c s="72">
        <v>-1558150.93988037</v>
      </c>
      <c s="72" t="s">
        <v>408</v>
      </c>
      <c s="72" t="s">
        <v>408</v>
      </c>
      <c s="72" t="s">
        <v>408</v>
      </c>
      <c s="72" t="s">
        <v>408</v>
      </c>
      <c s="72" t="s">
        <v>408</v>
      </c>
      <c s="72" t="s">
        <v>408</v>
      </c>
      <c s="72" t="s">
        <v>408</v>
      </c>
      <c s="72" t="s">
        <v>408</v>
      </c>
      <c s="73" t="s">
        <v>408</v>
      </c>
      <c s="73" t="s">
        <v>408</v>
      </c>
      <c s="73" t="s">
        <v>408</v>
      </c>
      <c s="73" t="s">
        <v>408</v>
      </c>
      <c s="74" t="s">
        <v>408</v>
      </c>
      <c s="74" t="s">
        <v>408</v>
      </c>
      <c s="69" t="s">
        <v>445</v>
      </c>
      <c s="69" t="s">
        <v>435</v>
      </c>
      <c s="77"/>
    </row>
    <row r="139" spans="1:141" ht="15">
      <c r="A1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60</v>
      </c>
      <c s="65" t="s">
        <v>60</v>
      </c>
      <c s="72" t="s">
        <v>446</v>
      </c>
      <c s="72" t="s">
        <v>446</v>
      </c>
      <c s="72">
        <v>118332520.121765</v>
      </c>
      <c s="72">
        <v>81616962.3311157</v>
      </c>
      <c s="72">
        <v>68.9725548371075</v>
      </c>
      <c s="72">
        <v>36715557.7906494</v>
      </c>
      <c s="72">
        <v>31.0274451628925</v>
      </c>
      <c s="72">
        <v>47600790.5543213</v>
      </c>
      <c s="72" t="s">
        <v>408</v>
      </c>
      <c s="72" t="s">
        <v>408</v>
      </c>
      <c s="72" t="s">
        <v>408</v>
      </c>
      <c s="72" t="s">
        <v>408</v>
      </c>
      <c s="72" t="s">
        <v>408</v>
      </c>
      <c s="72" t="s">
        <v>408</v>
      </c>
      <c s="72" t="s">
        <v>408</v>
      </c>
      <c s="72" t="s">
        <v>408</v>
      </c>
      <c s="72" t="s">
        <v>408</v>
      </c>
      <c s="72">
        <v>203451.020446777</v>
      </c>
      <c s="72">
        <v>-1557162.40405273</v>
      </c>
      <c s="72">
        <v>-1.43697718403344</v>
      </c>
      <c s="72">
        <v>1760613.42449951</v>
      </c>
      <c s="72">
        <v>1.43697718403344</v>
      </c>
      <c s="72">
        <v>-1558150.93988037</v>
      </c>
      <c s="72" t="s">
        <v>408</v>
      </c>
      <c s="72" t="s">
        <v>408</v>
      </c>
      <c s="72" t="s">
        <v>408</v>
      </c>
      <c s="72" t="s">
        <v>408</v>
      </c>
      <c s="72" t="s">
        <v>408</v>
      </c>
      <c s="72" t="s">
        <v>408</v>
      </c>
      <c s="72" t="s">
        <v>408</v>
      </c>
      <c s="72" t="s">
        <v>408</v>
      </c>
      <c s="73" t="s">
        <v>408</v>
      </c>
      <c s="73" t="s">
        <v>408</v>
      </c>
      <c s="73" t="s">
        <v>408</v>
      </c>
      <c s="73" t="s">
        <v>408</v>
      </c>
      <c s="74" t="s">
        <v>408</v>
      </c>
      <c s="74" t="s">
        <v>408</v>
      </c>
      <c s="69" t="s">
        <v>446</v>
      </c>
      <c s="69" t="s">
        <v>446</v>
      </c>
      <c s="77"/>
    </row>
    <row r="140" spans="1:141" ht="15">
      <c r="A1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503</v>
      </c>
      <c s="65" t="s">
        <v>60</v>
      </c>
      <c s="72" t="s">
        <v>447</v>
      </c>
      <c s="72" t="s">
        <v>446</v>
      </c>
      <c s="72">
        <v>118332520.121765</v>
      </c>
      <c s="72">
        <v>16804144.2987061</v>
      </c>
      <c s="72">
        <v>14.2007829136187</v>
      </c>
      <c s="72">
        <v>101528375.823059</v>
      </c>
      <c s="72">
        <v>85.7992170863813</v>
      </c>
      <c s="72">
        <v>47600790.5543213</v>
      </c>
      <c s="72" t="s">
        <v>408</v>
      </c>
      <c s="72" t="s">
        <v>408</v>
      </c>
      <c s="72" t="s">
        <v>408</v>
      </c>
      <c s="72" t="s">
        <v>408</v>
      </c>
      <c s="72" t="s">
        <v>408</v>
      </c>
      <c s="72" t="s">
        <v>408</v>
      </c>
      <c s="72" t="s">
        <v>408</v>
      </c>
      <c s="72" t="s">
        <v>408</v>
      </c>
      <c s="72" t="s">
        <v>408</v>
      </c>
      <c s="72">
        <v>203451.020446777</v>
      </c>
      <c s="72">
        <v>-104104.49041748</v>
      </c>
      <c s="72">
        <v>-0.112585436572433</v>
      </c>
      <c s="72">
        <v>307555.510864258</v>
      </c>
      <c s="72">
        <v>0.112585436572431</v>
      </c>
      <c s="72">
        <v>-1558150.93988037</v>
      </c>
      <c s="72" t="s">
        <v>408</v>
      </c>
      <c s="72" t="s">
        <v>408</v>
      </c>
      <c s="72" t="s">
        <v>408</v>
      </c>
      <c s="72" t="s">
        <v>408</v>
      </c>
      <c s="72" t="s">
        <v>408</v>
      </c>
      <c s="72" t="s">
        <v>408</v>
      </c>
      <c s="72" t="s">
        <v>408</v>
      </c>
      <c s="72" t="s">
        <v>408</v>
      </c>
      <c s="73" t="s">
        <v>408</v>
      </c>
      <c s="73" t="s">
        <v>408</v>
      </c>
      <c s="73" t="s">
        <v>408</v>
      </c>
      <c s="73" t="s">
        <v>408</v>
      </c>
      <c s="74" t="s">
        <v>408</v>
      </c>
      <c s="74" t="s">
        <v>408</v>
      </c>
      <c s="69" t="s">
        <v>447</v>
      </c>
      <c s="69" t="s">
        <v>446</v>
      </c>
      <c s="77"/>
    </row>
    <row r="141" spans="1:141" ht="15">
      <c r="A1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504</v>
      </c>
      <c s="65" t="s">
        <v>60</v>
      </c>
      <c s="72" t="s">
        <v>448</v>
      </c>
      <c s="72" t="s">
        <v>446</v>
      </c>
      <c s="72">
        <v>118332520.121765</v>
      </c>
      <c s="72">
        <v>47375842.5568237</v>
      </c>
      <c s="72">
        <v>40.0361984246373</v>
      </c>
      <c s="72">
        <v>70956677.5649414</v>
      </c>
      <c s="72">
        <v>59.9638015753627</v>
      </c>
      <c s="72">
        <v>47600790.5543213</v>
      </c>
      <c s="72" t="s">
        <v>408</v>
      </c>
      <c s="72" t="s">
        <v>408</v>
      </c>
      <c s="72" t="s">
        <v>408</v>
      </c>
      <c s="72" t="s">
        <v>408</v>
      </c>
      <c s="72" t="s">
        <v>408</v>
      </c>
      <c s="72" t="s">
        <v>408</v>
      </c>
      <c s="72" t="s">
        <v>408</v>
      </c>
      <c s="72" t="s">
        <v>408</v>
      </c>
      <c s="72" t="s">
        <v>408</v>
      </c>
      <c s="72">
        <v>203451.020446777</v>
      </c>
      <c s="72">
        <v>-1397436.89904785</v>
      </c>
      <c s="72">
        <v>-1.25192805169948</v>
      </c>
      <c s="72">
        <v>1600887.91949463</v>
      </c>
      <c s="72">
        <v>1.25192805169948</v>
      </c>
      <c s="72">
        <v>-1558150.93988037</v>
      </c>
      <c s="72" t="s">
        <v>408</v>
      </c>
      <c s="72" t="s">
        <v>408</v>
      </c>
      <c s="72" t="s">
        <v>408</v>
      </c>
      <c s="72" t="s">
        <v>408</v>
      </c>
      <c s="72" t="s">
        <v>408</v>
      </c>
      <c s="72" t="s">
        <v>408</v>
      </c>
      <c s="72" t="s">
        <v>408</v>
      </c>
      <c s="72" t="s">
        <v>408</v>
      </c>
      <c s="73" t="s">
        <v>408</v>
      </c>
      <c s="73" t="s">
        <v>408</v>
      </c>
      <c s="73" t="s">
        <v>408</v>
      </c>
      <c s="73" t="s">
        <v>408</v>
      </c>
      <c s="74" t="s">
        <v>408</v>
      </c>
      <c s="74" t="s">
        <v>408</v>
      </c>
      <c s="69" t="s">
        <v>448</v>
      </c>
      <c s="69" t="s">
        <v>446</v>
      </c>
      <c s="77"/>
    </row>
    <row r="142" spans="1:141" ht="15">
      <c r="A1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505</v>
      </c>
      <c s="65" t="s">
        <v>60</v>
      </c>
      <c s="72" t="s">
        <v>449</v>
      </c>
      <c s="72" t="s">
        <v>446</v>
      </c>
      <c s="72">
        <v>118332520.121765</v>
      </c>
      <c s="72">
        <v>42673875.6043091</v>
      </c>
      <c s="72">
        <v>36.06267791846</v>
      </c>
      <c s="72">
        <v>75658644.5174561</v>
      </c>
      <c s="72">
        <v>63.93732208154</v>
      </c>
      <c s="72">
        <v>47600790.5543213</v>
      </c>
      <c s="72" t="s">
        <v>408</v>
      </c>
      <c s="72" t="s">
        <v>408</v>
      </c>
      <c s="72" t="s">
        <v>408</v>
      </c>
      <c s="72" t="s">
        <v>408</v>
      </c>
      <c s="72" t="s">
        <v>408</v>
      </c>
      <c s="72" t="s">
        <v>408</v>
      </c>
      <c s="72" t="s">
        <v>408</v>
      </c>
      <c s="72" t="s">
        <v>408</v>
      </c>
      <c s="72" t="s">
        <v>408</v>
      </c>
      <c s="72">
        <v>203451.020446777</v>
      </c>
      <c s="72">
        <v>-2117169.93566895</v>
      </c>
      <c s="72">
        <v>-1.85436136808602</v>
      </c>
      <c s="72">
        <v>2320620.95611572</v>
      </c>
      <c s="72">
        <v>1.85436136808602</v>
      </c>
      <c s="72">
        <v>-1558150.93988037</v>
      </c>
      <c s="72" t="s">
        <v>408</v>
      </c>
      <c s="72" t="s">
        <v>408</v>
      </c>
      <c s="72" t="s">
        <v>408</v>
      </c>
      <c s="72" t="s">
        <v>408</v>
      </c>
      <c s="72" t="s">
        <v>408</v>
      </c>
      <c s="72" t="s">
        <v>408</v>
      </c>
      <c s="72" t="s">
        <v>408</v>
      </c>
      <c s="72" t="s">
        <v>408</v>
      </c>
      <c s="73" t="s">
        <v>408</v>
      </c>
      <c s="73" t="s">
        <v>408</v>
      </c>
      <c s="73" t="s">
        <v>408</v>
      </c>
      <c s="73" t="s">
        <v>408</v>
      </c>
      <c s="74" t="s">
        <v>408</v>
      </c>
      <c s="74" t="s">
        <v>408</v>
      </c>
      <c s="69" t="s">
        <v>449</v>
      </c>
      <c s="69" t="s">
        <v>446</v>
      </c>
      <c s="77"/>
    </row>
    <row r="143" spans="1:141" ht="15">
      <c r="A1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506</v>
      </c>
      <c s="65" t="s">
        <v>60</v>
      </c>
      <c s="72" t="s">
        <v>450</v>
      </c>
      <c s="72" t="s">
        <v>446</v>
      </c>
      <c s="72">
        <v>118332520.121765</v>
      </c>
      <c s="72">
        <v>4187039.89758301</v>
      </c>
      <c s="72">
        <v>3.53836789183101</v>
      </c>
      <c s="72">
        <v>114145480.224182</v>
      </c>
      <c s="72">
        <v>96.461632108169</v>
      </c>
      <c s="72">
        <v>47600790.5543213</v>
      </c>
      <c s="72" t="s">
        <v>408</v>
      </c>
      <c s="72" t="s">
        <v>408</v>
      </c>
      <c s="72" t="s">
        <v>408</v>
      </c>
      <c s="72" t="s">
        <v>408</v>
      </c>
      <c s="72" t="s">
        <v>408</v>
      </c>
      <c s="72" t="s">
        <v>408</v>
      </c>
      <c s="72" t="s">
        <v>408</v>
      </c>
      <c s="72" t="s">
        <v>408</v>
      </c>
      <c s="72" t="s">
        <v>408</v>
      </c>
      <c s="72">
        <v>203451.020446777</v>
      </c>
      <c s="72">
        <v>-423441.41394043</v>
      </c>
      <c s="72">
        <v>-0.364550624837451</v>
      </c>
      <c s="72">
        <v>626892.434387207</v>
      </c>
      <c s="72">
        <v>0.364550624837449</v>
      </c>
      <c s="72">
        <v>-1558150.93988037</v>
      </c>
      <c s="72" t="s">
        <v>408</v>
      </c>
      <c s="72" t="s">
        <v>408</v>
      </c>
      <c s="72" t="s">
        <v>408</v>
      </c>
      <c s="72" t="s">
        <v>408</v>
      </c>
      <c s="72" t="s">
        <v>408</v>
      </c>
      <c s="72" t="s">
        <v>408</v>
      </c>
      <c s="72" t="s">
        <v>408</v>
      </c>
      <c s="72" t="s">
        <v>408</v>
      </c>
      <c s="73" t="s">
        <v>408</v>
      </c>
      <c s="73" t="s">
        <v>408</v>
      </c>
      <c s="73" t="s">
        <v>408</v>
      </c>
      <c s="73" t="s">
        <v>408</v>
      </c>
      <c s="74" t="s">
        <v>408</v>
      </c>
      <c s="74" t="s">
        <v>408</v>
      </c>
      <c s="69" t="s">
        <v>450</v>
      </c>
      <c s="69" t="s">
        <v>446</v>
      </c>
      <c s="77"/>
    </row>
    <row r="144" spans="1:141" ht="15">
      <c r="A1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v>27694047.8937109</v>
      </c>
      <c s="76">
        <v>4</v>
      </c>
      <c s="75" t="s">
        <v>408</v>
      </c>
      <c s="76" t="s">
        <v>408</v>
      </c>
      <c s="75" t="s">
        <v>408</v>
      </c>
      <c s="76" t="s">
        <v>408</v>
      </c>
      <c s="75" t="s">
        <v>408</v>
      </c>
      <c s="76" t="s">
        <v>408</v>
      </c>
      <c s="75" t="s">
        <v>408</v>
      </c>
      <c s="76" t="s">
        <v>408</v>
      </c>
      <c s="75">
        <v>53476983.0874219</v>
      </c>
      <c s="76">
        <v>4</v>
      </c>
      <c s="75" t="s">
        <v>408</v>
      </c>
      <c s="76" t="s">
        <v>408</v>
      </c>
      <c s="75" t="s">
        <v>408</v>
      </c>
      <c s="76" t="s">
        <v>408</v>
      </c>
      <c s="75" t="s">
        <v>408</v>
      </c>
      <c s="76" t="s">
        <v>408</v>
      </c>
      <c s="75" t="s">
        <v>408</v>
      </c>
      <c s="76" t="s">
        <v>408</v>
      </c>
      <c s="65" t="s">
        <v>61</v>
      </c>
      <c s="65" t="s">
        <v>61</v>
      </c>
      <c s="72" t="s">
        <v>451</v>
      </c>
      <c s="72" t="s">
        <v>451</v>
      </c>
      <c s="72">
        <v>118332520.121765</v>
      </c>
      <c s="72">
        <v>89974876.6484985</v>
      </c>
      <c s="72">
        <v>76.0356295597471</v>
      </c>
      <c s="72">
        <v>28357643.4732666</v>
      </c>
      <c s="72">
        <v>23.9643704402529</v>
      </c>
      <c s="72">
        <v>47600790.5543213</v>
      </c>
      <c s="72">
        <v>16.5334615791357</v>
      </c>
      <c s="72">
        <v>83.4665384208643</v>
      </c>
      <c s="72">
        <v>7870058.41766357</v>
      </c>
      <c s="72">
        <v>27694047.8937109</v>
      </c>
      <c s="72">
        <v>53476983.0874219</v>
      </c>
      <c s="72">
        <v>27694047.8937109</v>
      </c>
      <c s="72">
        <v>19.778364415546</v>
      </c>
      <c s="72">
        <v>6949131.09543293</v>
      </c>
      <c s="72" t="s">
        <v>408</v>
      </c>
      <c s="72">
        <v>203451.020446777</v>
      </c>
      <c s="72">
        <v>-1925060.83276367</v>
      </c>
      <c s="72">
        <v>-1.76057943470487</v>
      </c>
      <c s="72">
        <v>2128511.85321045</v>
      </c>
      <c s="72">
        <v>1.76057943470487</v>
      </c>
      <c s="72">
        <v>-1558150.93988037</v>
      </c>
      <c s="72">
        <v>-0.338649518756839</v>
      </c>
      <c s="72">
        <v>0.338649518756839</v>
      </c>
      <c s="72">
        <v>-424092.805786133</v>
      </c>
      <c s="72">
        <v>142979.630546875</v>
      </c>
      <c s="72">
        <v>-5096000.66085938</v>
      </c>
      <c s="72">
        <v>142979.630546875</v>
      </c>
      <c s="72">
        <v>1.01865231640711</v>
      </c>
      <c s="72" t="s">
        <v>408</v>
      </c>
      <c s="73">
        <v>53476983.0874219</v>
      </c>
      <c s="73">
        <v>27694047.8937109</v>
      </c>
      <c s="73">
        <v>-5096000.66085938</v>
      </c>
      <c s="73">
        <v>142979.630546875</v>
      </c>
      <c s="74">
        <v>0.000533958631974307</v>
      </c>
      <c s="74">
        <v>-0.000980507503274511</v>
      </c>
      <c s="69" t="s">
        <v>451</v>
      </c>
      <c s="69" t="s">
        <v>451</v>
      </c>
      <c s="77"/>
    </row>
    <row r="145" spans="1:141" ht="15">
      <c r="A1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v>3421837.66640625</v>
      </c>
      <c s="76">
        <v>6</v>
      </c>
      <c s="75" t="s">
        <v>408</v>
      </c>
      <c s="76" t="s">
        <v>408</v>
      </c>
      <c s="75" t="s">
        <v>408</v>
      </c>
      <c s="76" t="s">
        <v>408</v>
      </c>
      <c s="75" t="s">
        <v>408</v>
      </c>
      <c s="76" t="s">
        <v>408</v>
      </c>
      <c s="75" t="s">
        <v>408</v>
      </c>
      <c s="76" t="s">
        <v>408</v>
      </c>
      <c s="75">
        <v>6585799.45398438</v>
      </c>
      <c s="76">
        <v>5</v>
      </c>
      <c s="65" t="s">
        <v>489</v>
      </c>
      <c s="65" t="s">
        <v>61</v>
      </c>
      <c s="72" t="s">
        <v>452</v>
      </c>
      <c s="72" t="s">
        <v>451</v>
      </c>
      <c s="72">
        <v>118332520.121765</v>
      </c>
      <c s="72">
        <v>32606609.8303833</v>
      </c>
      <c s="72">
        <v>27.5550709110487</v>
      </c>
      <c s="72">
        <v>85725910.2913818</v>
      </c>
      <c s="72">
        <v>72.4449290889513</v>
      </c>
      <c s="72">
        <v>47600790.5543213</v>
      </c>
      <c s="72">
        <v>1.93212098054653</v>
      </c>
      <c s="72">
        <v>98.0678790194535</v>
      </c>
      <c s="72">
        <v>919704.861206055</v>
      </c>
      <c s="72">
        <v>3421837.66640625</v>
      </c>
      <c s="72">
        <v>6585799.45398438</v>
      </c>
      <c s="72">
        <v>3421837.66640625</v>
      </c>
      <c s="72">
        <v>6.08536257148425</v>
      </c>
      <c s="72">
        <v>2882135.44578603</v>
      </c>
      <c s="72" t="s">
        <v>408</v>
      </c>
      <c s="72">
        <v>203451.020446777</v>
      </c>
      <c s="72">
        <v>-2008748.58630371</v>
      </c>
      <c s="72">
        <v>-1.74792680156152</v>
      </c>
      <c s="72">
        <v>2212199.60675049</v>
      </c>
      <c s="72">
        <v>1.74792680156152</v>
      </c>
      <c s="72">
        <v>-1558150.93988037</v>
      </c>
      <c s="72">
        <v>-0.0333004272746922</v>
      </c>
      <c s="72">
        <v>0.0333004272746962</v>
      </c>
      <c s="72">
        <v>-46475.4987792969</v>
      </c>
      <c s="72">
        <v>227180.96765625</v>
      </c>
      <c s="72">
        <v>-929871.062265625</v>
      </c>
      <c s="72">
        <v>227180.96765625</v>
      </c>
      <c s="72">
        <v>0.251137364885349</v>
      </c>
      <c s="72" t="s">
        <v>408</v>
      </c>
      <c s="73" t="s">
        <v>408</v>
      </c>
      <c s="73" t="s">
        <v>408</v>
      </c>
      <c s="73" t="s">
        <v>408</v>
      </c>
      <c s="73" t="s">
        <v>408</v>
      </c>
      <c s="74" t="s">
        <v>408</v>
      </c>
      <c s="74" t="s">
        <v>408</v>
      </c>
      <c s="69" t="s">
        <v>452</v>
      </c>
      <c s="69" t="s">
        <v>451</v>
      </c>
      <c s="77"/>
    </row>
    <row r="146" spans="1:141" ht="15">
      <c r="A1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v>22415998.2714453</v>
      </c>
      <c s="76">
        <v>1</v>
      </c>
      <c s="75" t="s">
        <v>408</v>
      </c>
      <c s="76" t="s">
        <v>408</v>
      </c>
      <c s="75" t="s">
        <v>408</v>
      </c>
      <c s="76" t="s">
        <v>408</v>
      </c>
      <c s="75" t="s">
        <v>408</v>
      </c>
      <c s="76" t="s">
        <v>408</v>
      </c>
      <c s="75" t="s">
        <v>408</v>
      </c>
      <c s="76" t="s">
        <v>408</v>
      </c>
      <c s="75">
        <v>44322387.4407813</v>
      </c>
      <c s="76">
        <v>2</v>
      </c>
      <c s="65" t="s">
        <v>477</v>
      </c>
      <c s="65" t="s">
        <v>61</v>
      </c>
      <c s="72" t="s">
        <v>453</v>
      </c>
      <c s="72" t="s">
        <v>451</v>
      </c>
      <c s="72">
        <v>118332520.121765</v>
      </c>
      <c s="72">
        <v>72973269.012085</v>
      </c>
      <c s="72">
        <v>61.6679750731201</v>
      </c>
      <c s="72">
        <v>45359251.1096802</v>
      </c>
      <c s="72">
        <v>38.3320249268799</v>
      </c>
      <c s="72">
        <v>47600790.5543213</v>
      </c>
      <c s="72">
        <v>14.0309463402004</v>
      </c>
      <c s="72">
        <v>85.9690536597996</v>
      </c>
      <c s="72">
        <v>6678841.38018799</v>
      </c>
      <c s="72">
        <v>22415998.2714453</v>
      </c>
      <c s="72">
        <v>44322387.4407813</v>
      </c>
      <c s="72">
        <v>22415998.2714453</v>
      </c>
      <c s="72">
        <v>20.2465440834199</v>
      </c>
      <c s="72">
        <v>5457102.99749198</v>
      </c>
      <c s="72" t="s">
        <v>408</v>
      </c>
      <c s="72">
        <v>203451.020446777</v>
      </c>
      <c s="72">
        <v>-1202142.16082764</v>
      </c>
      <c s="72">
        <v>-1.12386078676713</v>
      </c>
      <c s="72">
        <v>1405593.18127441</v>
      </c>
      <c s="72">
        <v>1.12386078676713</v>
      </c>
      <c s="72">
        <v>-1558150.93988037</v>
      </c>
      <c s="72">
        <v>-0.157048005367955</v>
      </c>
      <c s="72">
        <v>0.157048005367955</v>
      </c>
      <c s="72">
        <v>-295826.459350586</v>
      </c>
      <c s="72">
        <v>-133878.529062502</v>
      </c>
      <c s="72">
        <v>-2350454.41132812</v>
      </c>
      <c s="72">
        <v>-133878.529062502</v>
      </c>
      <c s="72">
        <v>1.15590298192409</v>
      </c>
      <c s="72" t="s">
        <v>408</v>
      </c>
      <c s="73" t="s">
        <v>408</v>
      </c>
      <c s="73" t="s">
        <v>408</v>
      </c>
      <c s="73" t="s">
        <v>408</v>
      </c>
      <c s="73" t="s">
        <v>408</v>
      </c>
      <c s="74" t="s">
        <v>408</v>
      </c>
      <c s="74" t="s">
        <v>408</v>
      </c>
      <c s="69" t="s">
        <v>453</v>
      </c>
      <c s="69" t="s">
        <v>451</v>
      </c>
      <c s="77"/>
    </row>
    <row r="147" spans="1:141" ht="15">
      <c r="A1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64</v>
      </c>
      <c s="65" t="s">
        <v>64</v>
      </c>
      <c s="72" t="s">
        <v>454</v>
      </c>
      <c s="72" t="s">
        <v>454</v>
      </c>
      <c s="72">
        <v>118332520.121765</v>
      </c>
      <c s="72">
        <v>47053152.2868042</v>
      </c>
      <c s="72">
        <v>39.7635005477667</v>
      </c>
      <c s="72">
        <v>71279367.8349609</v>
      </c>
      <c s="72">
        <v>60.2364994522333</v>
      </c>
      <c s="72">
        <v>47600790.5543213</v>
      </c>
      <c s="72" t="s">
        <v>408</v>
      </c>
      <c s="72" t="s">
        <v>408</v>
      </c>
      <c s="72" t="s">
        <v>408</v>
      </c>
      <c s="72" t="s">
        <v>408</v>
      </c>
      <c s="72" t="s">
        <v>408</v>
      </c>
      <c s="72" t="s">
        <v>408</v>
      </c>
      <c s="72" t="s">
        <v>408</v>
      </c>
      <c s="72" t="s">
        <v>408</v>
      </c>
      <c s="72" t="s">
        <v>408</v>
      </c>
      <c s="72">
        <v>203451.020446777</v>
      </c>
      <c s="72">
        <v>-367525.495483398</v>
      </c>
      <c s="72">
        <v>-0.379605753710443</v>
      </c>
      <c s="72">
        <v>570976.515930176</v>
      </c>
      <c s="72">
        <v>0.379605753710443</v>
      </c>
      <c s="72">
        <v>-1558150.93988037</v>
      </c>
      <c s="72" t="s">
        <v>408</v>
      </c>
      <c s="72" t="s">
        <v>408</v>
      </c>
      <c s="72" t="s">
        <v>408</v>
      </c>
      <c s="72" t="s">
        <v>408</v>
      </c>
      <c s="72" t="s">
        <v>408</v>
      </c>
      <c s="72" t="s">
        <v>408</v>
      </c>
      <c s="72" t="s">
        <v>408</v>
      </c>
      <c s="72" t="s">
        <v>408</v>
      </c>
      <c s="73" t="s">
        <v>408</v>
      </c>
      <c s="73" t="s">
        <v>408</v>
      </c>
      <c s="73" t="s">
        <v>408</v>
      </c>
      <c s="73" t="s">
        <v>408</v>
      </c>
      <c s="74" t="s">
        <v>408</v>
      </c>
      <c s="74" t="s">
        <v>408</v>
      </c>
      <c s="69" t="s">
        <v>454</v>
      </c>
      <c s="69" t="s">
        <v>454</v>
      </c>
      <c s="77"/>
    </row>
    <row r="148" spans="1:141" ht="15">
      <c r="A1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507</v>
      </c>
      <c s="65" t="s">
        <v>64</v>
      </c>
      <c s="72" t="s">
        <v>455</v>
      </c>
      <c s="72" t="s">
        <v>454</v>
      </c>
      <c s="72">
        <v>118332520.121765</v>
      </c>
      <c s="72">
        <v>12732808.4980469</v>
      </c>
      <c s="72">
        <v>10.7601938038205</v>
      </c>
      <c s="72">
        <v>105599711.623718</v>
      </c>
      <c s="72">
        <v>89.2398061961795</v>
      </c>
      <c s="72">
        <v>47600790.5543213</v>
      </c>
      <c s="72" t="s">
        <v>408</v>
      </c>
      <c s="72" t="s">
        <v>408</v>
      </c>
      <c s="72" t="s">
        <v>408</v>
      </c>
      <c s="72" t="s">
        <v>408</v>
      </c>
      <c s="72" t="s">
        <v>408</v>
      </c>
      <c s="72" t="s">
        <v>408</v>
      </c>
      <c s="72" t="s">
        <v>408</v>
      </c>
      <c s="72" t="s">
        <v>408</v>
      </c>
      <c s="72" t="s">
        <v>408</v>
      </c>
      <c s="72">
        <v>203451.020446777</v>
      </c>
      <c s="72">
        <v>-188206.262145996</v>
      </c>
      <c s="72">
        <v>-0.177854602461753</v>
      </c>
      <c s="72">
        <v>391657.282592773</v>
      </c>
      <c s="72">
        <v>0.177854602461764</v>
      </c>
      <c s="72">
        <v>-1558150.93988037</v>
      </c>
      <c s="72" t="s">
        <v>408</v>
      </c>
      <c s="72" t="s">
        <v>408</v>
      </c>
      <c s="72" t="s">
        <v>408</v>
      </c>
      <c s="72" t="s">
        <v>408</v>
      </c>
      <c s="72" t="s">
        <v>408</v>
      </c>
      <c s="72" t="s">
        <v>408</v>
      </c>
      <c s="72" t="s">
        <v>408</v>
      </c>
      <c s="72" t="s">
        <v>408</v>
      </c>
      <c s="73" t="s">
        <v>408</v>
      </c>
      <c s="73" t="s">
        <v>408</v>
      </c>
      <c s="73" t="s">
        <v>408</v>
      </c>
      <c s="73" t="s">
        <v>408</v>
      </c>
      <c s="74" t="s">
        <v>408</v>
      </c>
      <c s="74" t="s">
        <v>408</v>
      </c>
      <c s="69" t="s">
        <v>455</v>
      </c>
      <c s="69" t="s">
        <v>454</v>
      </c>
      <c s="77"/>
    </row>
    <row r="149" spans="1:141" ht="15">
      <c r="A1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508</v>
      </c>
      <c s="65" t="s">
        <v>64</v>
      </c>
      <c s="72" t="s">
        <v>456</v>
      </c>
      <c s="72" t="s">
        <v>454</v>
      </c>
      <c s="72">
        <v>118332520.121765</v>
      </c>
      <c s="72">
        <v>21360997.5743408</v>
      </c>
      <c s="72">
        <v>18.0516713008057</v>
      </c>
      <c s="72">
        <v>96971522.5474243</v>
      </c>
      <c s="72">
        <v>81.9483286991943</v>
      </c>
      <c s="72">
        <v>47600790.5543213</v>
      </c>
      <c s="72" t="s">
        <v>408</v>
      </c>
      <c s="72" t="s">
        <v>408</v>
      </c>
      <c s="72" t="s">
        <v>408</v>
      </c>
      <c s="72" t="s">
        <v>408</v>
      </c>
      <c s="72" t="s">
        <v>408</v>
      </c>
      <c s="72" t="s">
        <v>408</v>
      </c>
      <c s="72" t="s">
        <v>408</v>
      </c>
      <c s="72" t="s">
        <v>408</v>
      </c>
      <c s="72" t="s">
        <v>408</v>
      </c>
      <c s="72">
        <v>203451.020446777</v>
      </c>
      <c s="72">
        <v>-100002.509765625</v>
      </c>
      <c s="72">
        <v>-0.115745277834655</v>
      </c>
      <c s="72">
        <v>303453.530212402</v>
      </c>
      <c s="72">
        <v>0.115745277834662</v>
      </c>
      <c s="72">
        <v>-1558150.93988037</v>
      </c>
      <c s="72" t="s">
        <v>408</v>
      </c>
      <c s="72" t="s">
        <v>408</v>
      </c>
      <c s="72" t="s">
        <v>408</v>
      </c>
      <c s="72" t="s">
        <v>408</v>
      </c>
      <c s="72" t="s">
        <v>408</v>
      </c>
      <c s="72" t="s">
        <v>408</v>
      </c>
      <c s="72" t="s">
        <v>408</v>
      </c>
      <c s="72" t="s">
        <v>408</v>
      </c>
      <c s="73" t="s">
        <v>408</v>
      </c>
      <c s="73" t="s">
        <v>408</v>
      </c>
      <c s="73" t="s">
        <v>408</v>
      </c>
      <c s="73" t="s">
        <v>408</v>
      </c>
      <c s="74" t="s">
        <v>408</v>
      </c>
      <c s="74" t="s">
        <v>408</v>
      </c>
      <c s="69" t="s">
        <v>456</v>
      </c>
      <c s="69" t="s">
        <v>454</v>
      </c>
      <c s="77"/>
    </row>
    <row r="150" spans="1:141" ht="15">
      <c r="A1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509</v>
      </c>
      <c s="65" t="s">
        <v>64</v>
      </c>
      <c s="72" t="s">
        <v>457</v>
      </c>
      <c s="72" t="s">
        <v>454</v>
      </c>
      <c s="72">
        <v>118332520.121765</v>
      </c>
      <c s="72">
        <v>6975578.17010498</v>
      </c>
      <c s="72">
        <v>5.89489530259903</v>
      </c>
      <c s="72">
        <v>111356941.95166</v>
      </c>
      <c s="72">
        <v>94.105104697401</v>
      </c>
      <c s="72">
        <v>47600790.5543213</v>
      </c>
      <c s="72" t="s">
        <v>408</v>
      </c>
      <c s="72" t="s">
        <v>408</v>
      </c>
      <c s="72" t="s">
        <v>408</v>
      </c>
      <c s="72" t="s">
        <v>408</v>
      </c>
      <c s="72" t="s">
        <v>408</v>
      </c>
      <c s="72" t="s">
        <v>408</v>
      </c>
      <c s="72" t="s">
        <v>408</v>
      </c>
      <c s="72" t="s">
        <v>408</v>
      </c>
      <c s="72" t="s">
        <v>408</v>
      </c>
      <c s="72">
        <v>203451.020446777</v>
      </c>
      <c s="72">
        <v>409178.135253906</v>
      </c>
      <c s="72">
        <v>0.336229611922056</v>
      </c>
      <c s="72">
        <v>-205727.114807129</v>
      </c>
      <c s="72">
        <v>-0.33622961192205</v>
      </c>
      <c s="72">
        <v>-1558150.93988037</v>
      </c>
      <c s="72" t="s">
        <v>408</v>
      </c>
      <c s="72" t="s">
        <v>408</v>
      </c>
      <c s="72" t="s">
        <v>408</v>
      </c>
      <c s="72" t="s">
        <v>408</v>
      </c>
      <c s="72" t="s">
        <v>408</v>
      </c>
      <c s="72" t="s">
        <v>408</v>
      </c>
      <c s="72" t="s">
        <v>408</v>
      </c>
      <c s="72" t="s">
        <v>408</v>
      </c>
      <c s="73" t="s">
        <v>408</v>
      </c>
      <c s="73" t="s">
        <v>408</v>
      </c>
      <c s="73" t="s">
        <v>408</v>
      </c>
      <c s="73" t="s">
        <v>408</v>
      </c>
      <c s="74" t="s">
        <v>408</v>
      </c>
      <c s="74" t="s">
        <v>408</v>
      </c>
      <c s="69" t="s">
        <v>457</v>
      </c>
      <c s="69" t="s">
        <v>454</v>
      </c>
      <c s="77"/>
    </row>
    <row r="151" spans="1:141" ht="15">
      <c r="A1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v>10954082.5719531</v>
      </c>
      <c s="76">
        <v>4</v>
      </c>
      <c s="75" t="s">
        <v>408</v>
      </c>
      <c s="76" t="s">
        <v>408</v>
      </c>
      <c s="75" t="s">
        <v>408</v>
      </c>
      <c s="76" t="s">
        <v>408</v>
      </c>
      <c s="75" t="s">
        <v>408</v>
      </c>
      <c s="76" t="s">
        <v>408</v>
      </c>
      <c s="75" t="s">
        <v>408</v>
      </c>
      <c s="76" t="s">
        <v>408</v>
      </c>
      <c s="75">
        <v>23548085.7380859</v>
      </c>
      <c s="76">
        <v>4</v>
      </c>
      <c s="75" t="s">
        <v>408</v>
      </c>
      <c s="76" t="s">
        <v>408</v>
      </c>
      <c s="75" t="s">
        <v>408</v>
      </c>
      <c s="76" t="s">
        <v>408</v>
      </c>
      <c s="75" t="s">
        <v>408</v>
      </c>
      <c s="76" t="s">
        <v>408</v>
      </c>
      <c s="75" t="s">
        <v>408</v>
      </c>
      <c s="76" t="s">
        <v>408</v>
      </c>
      <c s="65" t="s">
        <v>65</v>
      </c>
      <c s="65" t="s">
        <v>65</v>
      </c>
      <c s="72" t="s">
        <v>458</v>
      </c>
      <c s="72" t="s">
        <v>458</v>
      </c>
      <c s="72">
        <v>118332520.121765</v>
      </c>
      <c s="72">
        <v>113025450.835449</v>
      </c>
      <c s="72">
        <v>95.5151218947632</v>
      </c>
      <c s="72">
        <v>5307069.28631592</v>
      </c>
      <c s="72">
        <v>4.48487810523676</v>
      </c>
      <c s="72">
        <v>47600790.5543213</v>
      </c>
      <c s="72">
        <v>6.4313688855436</v>
      </c>
      <c s="72">
        <v>93.5686311144564</v>
      </c>
      <c s="72">
        <v>3061382.4329834</v>
      </c>
      <c s="72">
        <v>10954082.5719531</v>
      </c>
      <c s="72">
        <v>23548085.7380859</v>
      </c>
      <c s="72">
        <v>10954082.5719531</v>
      </c>
      <c s="72">
        <v>7.10419733532964</v>
      </c>
      <c s="72">
        <v>10314568.7658857</v>
      </c>
      <c s="72" t="s">
        <v>408</v>
      </c>
      <c s="72">
        <v>203451.020446777</v>
      </c>
      <c s="72">
        <v>-342421.582580566</v>
      </c>
      <c s="72">
        <v>-0.454374250842591</v>
      </c>
      <c s="72">
        <v>545872.603027344</v>
      </c>
      <c s="72">
        <v>0.454374250842591</v>
      </c>
      <c s="72">
        <v>-1558150.93988037</v>
      </c>
      <c s="72">
        <v>0.0795250706768433</v>
      </c>
      <c s="72">
        <v>-0.0795250706768513</v>
      </c>
      <c s="72">
        <v>-61116.7517700195</v>
      </c>
      <c s="72">
        <v>1620141.77875</v>
      </c>
      <c s="72">
        <v>-2708545.37798828</v>
      </c>
      <c s="72">
        <v>1620141.77875</v>
      </c>
      <c s="72">
        <v>0.0128981240381814</v>
      </c>
      <c s="72" t="s">
        <v>408</v>
      </c>
      <c s="73">
        <v>23548085.7380859</v>
      </c>
      <c s="73">
        <v>10954082.5719531</v>
      </c>
      <c s="73">
        <v>-2708545.37798828</v>
      </c>
      <c s="73">
        <v>1620141.77875</v>
      </c>
      <c s="74">
        <v>-0.000397580371869641</v>
      </c>
      <c s="74">
        <v>0.00279175422181297</v>
      </c>
      <c s="69" t="s">
        <v>458</v>
      </c>
      <c s="69" t="s">
        <v>458</v>
      </c>
      <c s="77"/>
    </row>
    <row r="152" spans="1:141" ht="15">
      <c r="A1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v>722973.478203125</v>
      </c>
      <c s="76">
        <v>9</v>
      </c>
      <c s="65" t="s">
        <v>510</v>
      </c>
      <c s="65" t="s">
        <v>65</v>
      </c>
      <c s="72" t="s">
        <v>459</v>
      </c>
      <c s="72" t="s">
        <v>458</v>
      </c>
      <c s="72">
        <v>118332520.121765</v>
      </c>
      <c s="72">
        <v>30416700.3357544</v>
      </c>
      <c s="72">
        <v>25.7044304511181</v>
      </c>
      <c s="72">
        <v>87915819.7860107</v>
      </c>
      <c s="72">
        <v>74.2955695488819</v>
      </c>
      <c s="72">
        <v>47600790.5543213</v>
      </c>
      <c s="72">
        <v>0.640255954161429</v>
      </c>
      <c s="72">
        <v>99.3597440458386</v>
      </c>
      <c s="72">
        <v>304766.895751953</v>
      </c>
      <c s="72" t="s">
        <v>408</v>
      </c>
      <c s="72">
        <v>722973.478203125</v>
      </c>
      <c s="72" t="s">
        <v>408</v>
      </c>
      <c s="72">
        <v>2.08296403304965</v>
      </c>
      <c s="72">
        <v>739504.923976539</v>
      </c>
      <c s="72" t="s">
        <v>408</v>
      </c>
      <c s="72">
        <v>203451.020446777</v>
      </c>
      <c s="72">
        <v>99815.1368408203</v>
      </c>
      <c s="72">
        <v>0.0402265176128935</v>
      </c>
      <c s="72">
        <v>103635.883605957</v>
      </c>
      <c s="72">
        <v>-0.0402265176128935</v>
      </c>
      <c s="72">
        <v>-1558150.93988037</v>
      </c>
      <c s="72">
        <v>-0.0796843469836844</v>
      </c>
      <c s="72">
        <v>0.079684346983683</v>
      </c>
      <c s="72">
        <v>-49148.1356811523</v>
      </c>
      <c s="72" t="s">
        <v>408</v>
      </c>
      <c s="72">
        <v>21283.6937890624</v>
      </c>
      <c s="72" t="s">
        <v>408</v>
      </c>
      <c s="72">
        <v>-0.120972867388406</v>
      </c>
      <c s="72" t="s">
        <v>408</v>
      </c>
      <c s="73" t="s">
        <v>408</v>
      </c>
      <c s="73" t="s">
        <v>408</v>
      </c>
      <c s="73" t="s">
        <v>408</v>
      </c>
      <c s="73" t="s">
        <v>408</v>
      </c>
      <c s="74" t="s">
        <v>408</v>
      </c>
      <c s="74" t="s">
        <v>408</v>
      </c>
      <c s="69" t="s">
        <v>459</v>
      </c>
      <c s="69" t="s">
        <v>458</v>
      </c>
      <c s="77"/>
    </row>
    <row r="153" spans="1:141" ht="15">
      <c r="A1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v>4139631.71230469</v>
      </c>
      <c s="76">
        <v>7</v>
      </c>
      <c s="65" t="s">
        <v>511</v>
      </c>
      <c s="65" t="s">
        <v>65</v>
      </c>
      <c s="72" t="s">
        <v>460</v>
      </c>
      <c s="72" t="s">
        <v>458</v>
      </c>
      <c s="72">
        <v>118332520.121765</v>
      </c>
      <c s="72">
        <v>3348542.5322876</v>
      </c>
      <c s="72">
        <v>2.82977369943775</v>
      </c>
      <c s="72">
        <v>114983977.589478</v>
      </c>
      <c s="72">
        <v>97.1702263005622</v>
      </c>
      <c s="72">
        <v>47600790.5543213</v>
      </c>
      <c s="72">
        <v>0.824758214699958</v>
      </c>
      <c s="72">
        <v>99.1752417853</v>
      </c>
      <c s="72">
        <v>392591.430358887</v>
      </c>
      <c s="72" t="s">
        <v>408</v>
      </c>
      <c s="72">
        <v>4139631.71230469</v>
      </c>
      <c s="72" t="s">
        <v>408</v>
      </c>
      <c s="72">
        <v>34.3326751887277</v>
      </c>
      <c s="72">
        <v>311053.200049416</v>
      </c>
      <c s="72" t="s">
        <v>408</v>
      </c>
      <c s="72">
        <v>203451.020446777</v>
      </c>
      <c s="72">
        <v>330383.032165527</v>
      </c>
      <c s="72">
        <v>0.274806049998801</v>
      </c>
      <c s="72">
        <v>-126932.01171875</v>
      </c>
      <c s="72">
        <v>-0.274806049998801</v>
      </c>
      <c s="72">
        <v>-1558150.93988037</v>
      </c>
      <c s="72">
        <v>0.084411788164854</v>
      </c>
      <c s="72">
        <v>-0.0844117881648572</v>
      </c>
      <c s="72">
        <v>28644.963684082</v>
      </c>
      <c s="72" t="s">
        <v>408</v>
      </c>
      <c s="72">
        <v>448701.805742187</v>
      </c>
      <c s="72" t="s">
        <v>408</v>
      </c>
      <c s="72">
        <v>2.23022780106049</v>
      </c>
      <c s="72" t="s">
        <v>408</v>
      </c>
      <c s="73" t="s">
        <v>408</v>
      </c>
      <c s="73" t="s">
        <v>408</v>
      </c>
      <c s="73" t="s">
        <v>408</v>
      </c>
      <c s="73" t="s">
        <v>408</v>
      </c>
      <c s="74" t="s">
        <v>408</v>
      </c>
      <c s="74" t="s">
        <v>408</v>
      </c>
      <c s="69" t="s">
        <v>460</v>
      </c>
      <c s="69" t="s">
        <v>458</v>
      </c>
      <c s="77"/>
    </row>
    <row r="154" spans="1:141" ht="15">
      <c r="A1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66</v>
      </c>
      <c s="65" t="s">
        <v>66</v>
      </c>
      <c s="72" t="s">
        <v>461</v>
      </c>
      <c s="72" t="s">
        <v>461</v>
      </c>
      <c s="72">
        <v>118332520.121765</v>
      </c>
      <c s="72">
        <v>20909588.6517334</v>
      </c>
      <c s="72">
        <v>17.6701963502656</v>
      </c>
      <c s="72">
        <v>97422931.4700317</v>
      </c>
      <c s="72">
        <v>82.3298036497344</v>
      </c>
      <c s="72">
        <v>47600790.5543213</v>
      </c>
      <c s="72" t="s">
        <v>408</v>
      </c>
      <c s="72" t="s">
        <v>408</v>
      </c>
      <c s="72" t="s">
        <v>408</v>
      </c>
      <c s="72" t="s">
        <v>408</v>
      </c>
      <c s="72" t="s">
        <v>408</v>
      </c>
      <c s="72" t="s">
        <v>408</v>
      </c>
      <c s="72" t="s">
        <v>408</v>
      </c>
      <c s="72" t="s">
        <v>408</v>
      </c>
      <c s="72" t="s">
        <v>408</v>
      </c>
      <c s="72">
        <v>203451.020446777</v>
      </c>
      <c s="72">
        <v>-2401171.96948242</v>
      </c>
      <c s="72">
        <v>-2.06310113404998</v>
      </c>
      <c s="72">
        <v>2604622.9899292</v>
      </c>
      <c s="72">
        <v>2.06310113404999</v>
      </c>
      <c s="72">
        <v>-1558150.93988037</v>
      </c>
      <c s="72" t="s">
        <v>408</v>
      </c>
      <c s="72" t="s">
        <v>408</v>
      </c>
      <c s="72" t="s">
        <v>408</v>
      </c>
      <c s="72" t="s">
        <v>408</v>
      </c>
      <c s="72" t="s">
        <v>408</v>
      </c>
      <c s="72" t="s">
        <v>408</v>
      </c>
      <c s="72" t="s">
        <v>408</v>
      </c>
      <c s="72" t="s">
        <v>408</v>
      </c>
      <c s="73" t="s">
        <v>408</v>
      </c>
      <c s="73" t="s">
        <v>408</v>
      </c>
      <c s="73" t="s">
        <v>408</v>
      </c>
      <c s="73" t="s">
        <v>408</v>
      </c>
      <c s="74" t="s">
        <v>408</v>
      </c>
      <c s="74" t="s">
        <v>408</v>
      </c>
      <c s="69" t="s">
        <v>461</v>
      </c>
      <c s="69" t="s">
        <v>461</v>
      </c>
      <c s="77"/>
    </row>
    <row r="155" spans="1:141" ht="15">
      <c r="A1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512</v>
      </c>
      <c s="65" t="s">
        <v>66</v>
      </c>
      <c s="72" t="s">
        <v>462</v>
      </c>
      <c s="72" t="s">
        <v>461</v>
      </c>
      <c s="72">
        <v>118332520.121765</v>
      </c>
      <c s="72">
        <v>5035121.06219482</v>
      </c>
      <c s="72">
        <v>4.25506112522039</v>
      </c>
      <c s="72">
        <v>113297399.05957</v>
      </c>
      <c s="72">
        <v>95.7449388747796</v>
      </c>
      <c s="72">
        <v>47600790.5543213</v>
      </c>
      <c s="72" t="s">
        <v>408</v>
      </c>
      <c s="72" t="s">
        <v>408</v>
      </c>
      <c s="72" t="s">
        <v>408</v>
      </c>
      <c s="72" t="s">
        <v>408</v>
      </c>
      <c s="72" t="s">
        <v>408</v>
      </c>
      <c s="72" t="s">
        <v>408</v>
      </c>
      <c s="72" t="s">
        <v>408</v>
      </c>
      <c s="72" t="s">
        <v>408</v>
      </c>
      <c s="72" t="s">
        <v>408</v>
      </c>
      <c s="72">
        <v>203451.020446777</v>
      </c>
      <c s="72">
        <v>-961154.282165527</v>
      </c>
      <c s="72">
        <v>-0.820975950139439</v>
      </c>
      <c s="72">
        <v>1164605.3026123</v>
      </c>
      <c s="72">
        <v>0.820975950139442</v>
      </c>
      <c s="72">
        <v>-1558150.93988037</v>
      </c>
      <c s="72" t="s">
        <v>408</v>
      </c>
      <c s="72" t="s">
        <v>408</v>
      </c>
      <c s="72" t="s">
        <v>408</v>
      </c>
      <c s="72" t="s">
        <v>408</v>
      </c>
      <c s="72" t="s">
        <v>408</v>
      </c>
      <c s="72" t="s">
        <v>408</v>
      </c>
      <c s="72" t="s">
        <v>408</v>
      </c>
      <c s="72" t="s">
        <v>408</v>
      </c>
      <c s="73" t="s">
        <v>408</v>
      </c>
      <c s="73" t="s">
        <v>408</v>
      </c>
      <c s="73" t="s">
        <v>408</v>
      </c>
      <c s="73" t="s">
        <v>408</v>
      </c>
      <c s="74" t="s">
        <v>408</v>
      </c>
      <c s="74" t="s">
        <v>408</v>
      </c>
      <c s="69" t="s">
        <v>462</v>
      </c>
      <c s="69" t="s">
        <v>461</v>
      </c>
      <c s="77"/>
    </row>
    <row r="156" spans="1:141" ht="15">
      <c r="A1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513</v>
      </c>
      <c s="65" t="s">
        <v>66</v>
      </c>
      <c s="72" t="s">
        <v>463</v>
      </c>
      <c s="72" t="s">
        <v>461</v>
      </c>
      <c s="72">
        <v>118332520.121765</v>
      </c>
      <c s="72">
        <v>16067036.5788574</v>
      </c>
      <c s="72">
        <v>13.5778707005685</v>
      </c>
      <c s="72">
        <v>102265483.542908</v>
      </c>
      <c s="72">
        <v>86.4221292994315</v>
      </c>
      <c s="72">
        <v>47600790.5543213</v>
      </c>
      <c s="72" t="s">
        <v>408</v>
      </c>
      <c s="72" t="s">
        <v>408</v>
      </c>
      <c s="72" t="s">
        <v>408</v>
      </c>
      <c s="72" t="s">
        <v>408</v>
      </c>
      <c s="72" t="s">
        <v>408</v>
      </c>
      <c s="72" t="s">
        <v>408</v>
      </c>
      <c s="72" t="s">
        <v>408</v>
      </c>
      <c s="72" t="s">
        <v>408</v>
      </c>
      <c s="72" t="s">
        <v>408</v>
      </c>
      <c s="72">
        <v>203451.020446777</v>
      </c>
      <c s="72">
        <v>-1911797.6875</v>
      </c>
      <c s="72">
        <v>-1.64178217838306</v>
      </c>
      <c s="72">
        <v>2115248.70794678</v>
      </c>
      <c s="72">
        <v>1.64178217838305</v>
      </c>
      <c s="72">
        <v>-1558150.93988037</v>
      </c>
      <c s="72" t="s">
        <v>408</v>
      </c>
      <c s="72" t="s">
        <v>408</v>
      </c>
      <c s="72" t="s">
        <v>408</v>
      </c>
      <c s="72" t="s">
        <v>408</v>
      </c>
      <c s="72" t="s">
        <v>408</v>
      </c>
      <c s="72" t="s">
        <v>408</v>
      </c>
      <c s="72" t="s">
        <v>408</v>
      </c>
      <c s="72" t="s">
        <v>408</v>
      </c>
      <c s="73" t="s">
        <v>408</v>
      </c>
      <c s="73" t="s">
        <v>408</v>
      </c>
      <c s="73" t="s">
        <v>408</v>
      </c>
      <c s="73" t="s">
        <v>408</v>
      </c>
      <c s="74" t="s">
        <v>408</v>
      </c>
      <c s="74" t="s">
        <v>408</v>
      </c>
      <c s="69" t="s">
        <v>463</v>
      </c>
      <c s="69" t="s">
        <v>461</v>
      </c>
      <c s="77"/>
    </row>
    <row r="157" spans="1:141" ht="15">
      <c r="A1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67</v>
      </c>
      <c s="75">
        <v>66955332.9057812</v>
      </c>
      <c s="76">
        <v>3</v>
      </c>
      <c s="75" t="s">
        <v>408</v>
      </c>
      <c s="76" t="s">
        <v>408</v>
      </c>
      <c s="75" t="s">
        <v>408</v>
      </c>
      <c s="76" t="s">
        <v>408</v>
      </c>
      <c s="75" t="s">
        <v>408</v>
      </c>
      <c s="76" t="s">
        <v>408</v>
      </c>
      <c s="75" t="s">
        <v>408</v>
      </c>
      <c s="76" t="s">
        <v>408</v>
      </c>
      <c s="75">
        <v>200863196.99832</v>
      </c>
      <c s="76">
        <v>1</v>
      </c>
      <c s="75" t="s">
        <v>408</v>
      </c>
      <c s="76" t="s">
        <v>408</v>
      </c>
      <c s="75" t="s">
        <v>408</v>
      </c>
      <c s="76" t="s">
        <v>408</v>
      </c>
      <c s="75" t="s">
        <v>408</v>
      </c>
      <c s="76" t="s">
        <v>408</v>
      </c>
      <c s="75" t="s">
        <v>408</v>
      </c>
      <c s="76" t="s">
        <v>408</v>
      </c>
      <c s="65" t="s">
        <v>67</v>
      </c>
      <c s="65" t="s">
        <v>67</v>
      </c>
      <c s="72" t="s">
        <v>464</v>
      </c>
      <c s="72" t="s">
        <v>464</v>
      </c>
      <c s="72">
        <v>118332520.121765</v>
      </c>
      <c s="72">
        <v>98326906.2091064</v>
      </c>
      <c s="72">
        <v>83.0937312143164</v>
      </c>
      <c s="72">
        <v>20005613.9126587</v>
      </c>
      <c s="72">
        <v>16.9062687856836</v>
      </c>
      <c s="72">
        <v>47600790.5543213</v>
      </c>
      <c s="72">
        <v>41.2202771873801</v>
      </c>
      <c s="72">
        <v>58.7797228126199</v>
      </c>
      <c s="72">
        <v>19621177.8098755</v>
      </c>
      <c s="72">
        <v>66955332.9057812</v>
      </c>
      <c s="72">
        <v>200863196.99832</v>
      </c>
      <c s="72">
        <v>66955332.9057812</v>
      </c>
      <c s="72">
        <v>49.2239669104129</v>
      </c>
      <c s="72">
        <v>10028489.9714133</v>
      </c>
      <c s="72" t="s">
        <v>408</v>
      </c>
      <c s="72">
        <v>203451.020446777</v>
      </c>
      <c s="72">
        <v>348802.833374023</v>
      </c>
      <c s="72">
        <v>0.152162199074837</v>
      </c>
      <c s="72">
        <v>-145351.812927246</v>
      </c>
      <c s="72">
        <v>-0.152162199074837</v>
      </c>
      <c s="72">
        <v>-1558150.93988037</v>
      </c>
      <c s="72">
        <v>0.482227985542877</v>
      </c>
      <c s="72">
        <v>-0.482227985542877</v>
      </c>
      <c s="72">
        <v>-405215.963134766</v>
      </c>
      <c s="72">
        <v>-1464247.66710938</v>
      </c>
      <c s="72">
        <v>-17455899.6111328</v>
      </c>
      <c s="72">
        <v>-1464247.66710938</v>
      </c>
      <c s="72">
        <v>0.192056668488142</v>
      </c>
      <c s="72" t="s">
        <v>408</v>
      </c>
      <c s="73">
        <v>200863196.99832</v>
      </c>
      <c s="73">
        <v>66955332.9057812</v>
      </c>
      <c s="73">
        <v>-17455899.6111328</v>
      </c>
      <c s="73">
        <v>-1464247.66710938</v>
      </c>
      <c s="74">
        <v>0.00430044749789138</v>
      </c>
      <c s="74">
        <v>-0.0060510708050939</v>
      </c>
      <c s="69" t="s">
        <v>464</v>
      </c>
      <c s="69" t="s">
        <v>464</v>
      </c>
      <c s="77"/>
    </row>
    <row r="158" spans="1:141" ht="15">
      <c r="A1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67</v>
      </c>
      <c s="75" t="s">
        <v>408</v>
      </c>
      <c s="76" t="s">
        <v>408</v>
      </c>
      <c s="75" t="s">
        <v>408</v>
      </c>
      <c s="76" t="s">
        <v>408</v>
      </c>
      <c s="75" t="s">
        <v>408</v>
      </c>
      <c s="76" t="s">
        <v>408</v>
      </c>
      <c s="75">
        <v>9811481.77703125</v>
      </c>
      <c s="76">
        <v>2</v>
      </c>
      <c s="75" t="s">
        <v>408</v>
      </c>
      <c s="76" t="s">
        <v>408</v>
      </c>
      <c s="75" t="s">
        <v>408</v>
      </c>
      <c s="76" t="s">
        <v>408</v>
      </c>
      <c s="75">
        <v>26250004.1182812</v>
      </c>
      <c s="76">
        <v>2</v>
      </c>
      <c s="75" t="s">
        <v>408</v>
      </c>
      <c s="76" t="s">
        <v>408</v>
      </c>
      <c s="75" t="s">
        <v>408</v>
      </c>
      <c s="76" t="s">
        <v>408</v>
      </c>
      <c s="75" t="s">
        <v>408</v>
      </c>
      <c s="76" t="s">
        <v>408</v>
      </c>
      <c s="65" t="s">
        <v>481</v>
      </c>
      <c s="65" t="s">
        <v>67</v>
      </c>
      <c s="72" t="s">
        <v>465</v>
      </c>
      <c s="72" t="s">
        <v>464</v>
      </c>
      <c s="72">
        <v>118332520.121765</v>
      </c>
      <c s="72">
        <v>32750620.3792725</v>
      </c>
      <c s="72">
        <v>27.6767708027952</v>
      </c>
      <c s="72">
        <v>85581899.7424927</v>
      </c>
      <c s="72">
        <v>72.3232291972048</v>
      </c>
      <c s="72">
        <v>47600790.5543213</v>
      </c>
      <c s="72">
        <v>6.97814124795637</v>
      </c>
      <c s="72">
        <v>93.0218587520436</v>
      </c>
      <c s="72">
        <v>3321650.40002441</v>
      </c>
      <c s="72">
        <v>9811481.77703125</v>
      </c>
      <c s="72">
        <v>26250004.1182812</v>
      </c>
      <c s="72">
        <v>9811481.77703125</v>
      </c>
      <c s="72">
        <v>25.6449627673488</v>
      </c>
      <c s="72">
        <v>2625231.8433679</v>
      </c>
      <c s="72" t="s">
        <v>408</v>
      </c>
      <c s="72">
        <v>203451.020446777</v>
      </c>
      <c s="72">
        <v>-2458705.24932861</v>
      </c>
      <c s="72">
        <v>-2.12903897498465</v>
      </c>
      <c s="72">
        <v>2662156.26977539</v>
      </c>
      <c s="72">
        <v>2.12903897498465</v>
      </c>
      <c s="72">
        <v>-1558150.93988037</v>
      </c>
      <c s="72">
        <v>-0.388727359807225</v>
      </c>
      <c s="72">
        <v>0.38872735980722</v>
      </c>
      <c s="72">
        <v>-299824.228820801</v>
      </c>
      <c s="72">
        <v>-983832.454140624</v>
      </c>
      <c s="72">
        <v>-5154321.414375</v>
      </c>
      <c s="72">
        <v>-983832.454140624</v>
      </c>
      <c s="72">
        <v>-0.795961949572092</v>
      </c>
      <c s="72" t="s">
        <v>408</v>
      </c>
      <c s="73" t="s">
        <v>408</v>
      </c>
      <c s="73" t="s">
        <v>408</v>
      </c>
      <c s="73" t="s">
        <v>408</v>
      </c>
      <c s="73" t="s">
        <v>408</v>
      </c>
      <c s="74" t="s">
        <v>408</v>
      </c>
      <c s="74" t="s">
        <v>408</v>
      </c>
      <c s="69" t="s">
        <v>465</v>
      </c>
      <c s="69" t="s">
        <v>464</v>
      </c>
      <c s="77"/>
    </row>
    <row r="159" spans="1:141" ht="15">
      <c r="A1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67</v>
      </c>
      <c s="75" t="s">
        <v>408</v>
      </c>
      <c s="76" t="s">
        <v>408</v>
      </c>
      <c s="75" t="s">
        <v>408</v>
      </c>
      <c s="76" t="s">
        <v>408</v>
      </c>
      <c s="75" t="s">
        <v>408</v>
      </c>
      <c s="76" t="s">
        <v>408</v>
      </c>
      <c s="75">
        <v>1637434.12640625</v>
      </c>
      <c s="76">
        <v>3</v>
      </c>
      <c s="75" t="s">
        <v>408</v>
      </c>
      <c s="76" t="s">
        <v>408</v>
      </c>
      <c s="75" t="s">
        <v>408</v>
      </c>
      <c s="76" t="s">
        <v>408</v>
      </c>
      <c s="75">
        <v>3224234.7871875</v>
      </c>
      <c s="76">
        <v>3</v>
      </c>
      <c s="75" t="s">
        <v>408</v>
      </c>
      <c s="76" t="s">
        <v>408</v>
      </c>
      <c s="75" t="s">
        <v>408</v>
      </c>
      <c s="76" t="s">
        <v>408</v>
      </c>
      <c s="75" t="s">
        <v>408</v>
      </c>
      <c s="76" t="s">
        <v>408</v>
      </c>
      <c s="65" t="s">
        <v>484</v>
      </c>
      <c s="65" t="s">
        <v>67</v>
      </c>
      <c s="72" t="s">
        <v>466</v>
      </c>
      <c s="72" t="s">
        <v>464</v>
      </c>
      <c s="72">
        <v>118332520.121765</v>
      </c>
      <c s="72">
        <v>4294706.65216064</v>
      </c>
      <c s="72">
        <v>3.62935450689409</v>
      </c>
      <c s="72">
        <v>114037813.469604</v>
      </c>
      <c s="72">
        <v>96.3706454931059</v>
      </c>
      <c s="72">
        <v>47600790.5543213</v>
      </c>
      <c s="72">
        <v>1.00726919184352</v>
      </c>
      <c s="72">
        <v>98.9927308081565</v>
      </c>
      <c s="72">
        <v>479468.098327637</v>
      </c>
      <c s="72">
        <v>1637434.12640625</v>
      </c>
      <c s="72">
        <v>3224234.7871875</v>
      </c>
      <c s="72">
        <v>1637434.12640625</v>
      </c>
      <c s="72">
        <v>20.6673285232869</v>
      </c>
      <c s="72">
        <v>304929.32351125</v>
      </c>
      <c s="72" t="s">
        <v>408</v>
      </c>
      <c s="72">
        <v>203451.020446777</v>
      </c>
      <c s="72">
        <v>279781.975097656</v>
      </c>
      <c s="72">
        <v>0.230593551942846</v>
      </c>
      <c s="72">
        <v>-76330.9546508789</v>
      </c>
      <c s="72">
        <v>-0.230593551942846</v>
      </c>
      <c s="72">
        <v>-1558150.93988037</v>
      </c>
      <c s="72">
        <v>0.0792910845493275</v>
      </c>
      <c s="72">
        <v>-0.0792910845493253</v>
      </c>
      <c s="72">
        <v>23283.8834838867</v>
      </c>
      <c s="72">
        <v>-162775.025625</v>
      </c>
      <c s="72">
        <v>167911.34375</v>
      </c>
      <c s="72">
        <v>-162775.025625</v>
      </c>
      <c s="72">
        <v>1.81078872693451</v>
      </c>
      <c s="72" t="s">
        <v>408</v>
      </c>
      <c s="73" t="s">
        <v>408</v>
      </c>
      <c s="73" t="s">
        <v>408</v>
      </c>
      <c s="73" t="s">
        <v>408</v>
      </c>
      <c s="73" t="s">
        <v>408</v>
      </c>
      <c s="74" t="s">
        <v>408</v>
      </c>
      <c s="74" t="s">
        <v>408</v>
      </c>
      <c s="69" t="s">
        <v>466</v>
      </c>
      <c s="69" t="s">
        <v>464</v>
      </c>
      <c s="77"/>
    </row>
    <row r="160" spans="1:141" ht="15">
      <c r="A16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67</v>
      </c>
      <c s="75" t="s">
        <v>408</v>
      </c>
      <c s="76" t="s">
        <v>408</v>
      </c>
      <c s="75" t="s">
        <v>408</v>
      </c>
      <c s="76" t="s">
        <v>408</v>
      </c>
      <c s="75" t="s">
        <v>408</v>
      </c>
      <c s="76" t="s">
        <v>408</v>
      </c>
      <c s="75">
        <v>55506417.0535156</v>
      </c>
      <c s="76">
        <v>1</v>
      </c>
      <c s="75" t="s">
        <v>408</v>
      </c>
      <c s="76" t="s">
        <v>408</v>
      </c>
      <c s="75" t="s">
        <v>408</v>
      </c>
      <c s="76" t="s">
        <v>408</v>
      </c>
      <c s="75">
        <v>171388958.073477</v>
      </c>
      <c s="76">
        <v>1</v>
      </c>
      <c s="75" t="s">
        <v>408</v>
      </c>
      <c s="76" t="s">
        <v>408</v>
      </c>
      <c s="75" t="s">
        <v>408</v>
      </c>
      <c s="76" t="s">
        <v>408</v>
      </c>
      <c s="75" t="s">
        <v>408</v>
      </c>
      <c s="76" t="s">
        <v>408</v>
      </c>
      <c s="65" t="s">
        <v>476</v>
      </c>
      <c s="65" t="s">
        <v>67</v>
      </c>
      <c s="72" t="s">
        <v>467</v>
      </c>
      <c s="72" t="s">
        <v>464</v>
      </c>
      <c s="72">
        <v>118332520.121765</v>
      </c>
      <c s="72">
        <v>84259052.4053955</v>
      </c>
      <c s="72">
        <v>71.2053223566034</v>
      </c>
      <c s="72">
        <v>34073467.7163696</v>
      </c>
      <c s="72">
        <v>28.7946776433966</v>
      </c>
      <c s="72">
        <v>47600790.5543213</v>
      </c>
      <c s="72">
        <v>35.2235601316569</v>
      </c>
      <c s="72">
        <v>64.7764398683431</v>
      </c>
      <c s="72">
        <v>16766693.0840454</v>
      </c>
      <c s="72">
        <v>55506417.0535156</v>
      </c>
      <c s="72">
        <v>171388958.073477</v>
      </c>
      <c s="72">
        <v>55506417.0535156</v>
      </c>
      <c s="72">
        <v>48.4726468668921</v>
      </c>
      <c s="72">
        <v>8665010.85399156</v>
      </c>
      <c s="72" t="s">
        <v>408</v>
      </c>
      <c s="72">
        <v>203451.020446777</v>
      </c>
      <c s="72">
        <v>2037072.8762207</v>
      </c>
      <c s="72">
        <v>1.60181142175162</v>
      </c>
      <c s="72">
        <v>-1833621.85577393</v>
      </c>
      <c s="72">
        <v>-1.60181142175162</v>
      </c>
      <c s="72">
        <v>-1558150.93988037</v>
      </c>
      <c s="72">
        <v>0.928472891518318</v>
      </c>
      <c s="72">
        <v>-0.928472891518311</v>
      </c>
      <c s="72">
        <v>-92408.7877197266</v>
      </c>
      <c s="72">
        <v>-317640.141328119</v>
      </c>
      <c s="72">
        <v>-12469489.5473047</v>
      </c>
      <c s="72">
        <v>-317640.141328119</v>
      </c>
      <c s="72">
        <v>0.0830910632200741</v>
      </c>
      <c s="72" t="s">
        <v>408</v>
      </c>
      <c s="73" t="s">
        <v>408</v>
      </c>
      <c s="73" t="s">
        <v>408</v>
      </c>
      <c s="73" t="s">
        <v>408</v>
      </c>
      <c s="73" t="s">
        <v>408</v>
      </c>
      <c s="74" t="s">
        <v>408</v>
      </c>
      <c s="74" t="s">
        <v>408</v>
      </c>
      <c s="69" t="s">
        <v>467</v>
      </c>
      <c s="69" t="s">
        <v>464</v>
      </c>
      <c s="77"/>
    </row>
    <row r="161" spans="1:141" ht="15">
      <c r="A16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62" spans="1:141" ht="15">
      <c r="A16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63" spans="1:141" ht="15">
      <c r="A16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64" spans="1:141" ht="15">
      <c r="A16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65" spans="1:141" ht="15">
      <c r="A16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66" spans="1:141" ht="15">
      <c r="A16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67" spans="1:141" ht="15">
      <c r="A16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68" spans="1:141" ht="15">
      <c r="A16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69" spans="1:141" ht="15">
      <c r="A16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0" spans="1:141" ht="15">
      <c r="A17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1" spans="1:141" ht="15">
      <c r="A17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2" spans="1:141" ht="15">
      <c r="A17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3" spans="1:141" ht="15">
      <c r="A17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4" spans="1:141" ht="15">
      <c r="A17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5" spans="1:141" ht="15">
      <c r="A17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6" spans="1:141" ht="15">
      <c r="A17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7" spans="1:141" ht="15">
      <c r="A17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8" spans="1:141" ht="15">
      <c r="A17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79" spans="1:141" ht="15">
      <c r="A17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0" spans="1:141" ht="15">
      <c r="A18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1" spans="1:141" ht="15">
      <c r="A18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2" spans="1:141" ht="15">
      <c r="A18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3" spans="1:141" ht="15">
      <c r="A18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4" spans="1:141" ht="15">
      <c r="A18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5" spans="1:141" ht="15">
      <c r="A18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6" spans="1:141" ht="15">
      <c r="A18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7" spans="1:141" ht="15">
      <c r="A18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8" spans="1:141" ht="15">
      <c r="A18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89" spans="1:141" ht="15">
      <c r="A18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0" spans="1:141" ht="15">
      <c r="A19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1" spans="1:141" ht="15">
      <c r="A19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2" spans="1:141" ht="15">
      <c r="A19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3" spans="1:141" ht="15">
      <c r="A19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4" spans="1:141" ht="15">
      <c r="A19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5" spans="1:141" ht="15">
      <c r="A19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6" spans="1:141" ht="15">
      <c r="A19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7" spans="1:141" ht="15">
      <c r="A19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8" spans="1:141" ht="15">
      <c r="A19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199" spans="1:141" ht="15">
      <c r="A19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0" spans="1:141" ht="15">
      <c r="A20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1" spans="1:141" ht="15">
      <c r="A20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2" spans="1:141" ht="15">
      <c r="A20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3" spans="1:141" ht="15">
      <c r="A20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4" spans="1:141" ht="15">
      <c r="A20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5" spans="1:141" ht="15">
      <c r="A20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6" spans="1:141" ht="15">
      <c r="A20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7" spans="1:141" ht="15">
      <c r="A20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8" spans="1:141" ht="15">
      <c r="A20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09" spans="1:141" ht="15">
      <c r="A20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0" spans="1:141" ht="15">
      <c r="A21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1" spans="1:141" ht="15">
      <c r="A21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2" spans="1:141" ht="15">
      <c r="A21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3" spans="1:141" ht="15">
      <c r="A21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4" spans="1:141" ht="15">
      <c r="A21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5" spans="1:141" ht="15">
      <c r="A21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6" spans="1:141" ht="15">
      <c r="A21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7" spans="1:141" ht="15">
      <c r="A21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8" spans="1:141" ht="15">
      <c r="A21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19" spans="1:141" ht="15">
      <c r="A21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0" spans="1:141" ht="15">
      <c r="A22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1" spans="1:141" ht="15">
      <c r="A22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2" spans="1:141" ht="15">
      <c r="A22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3" spans="1:141" ht="15">
      <c r="A22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4" spans="1:141" ht="15">
      <c r="A22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5" spans="1:141" ht="15">
      <c r="A22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6" spans="1:141" ht="15">
      <c r="A22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7" spans="1:141" ht="15">
      <c r="A22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8" spans="1:141" ht="15">
      <c r="A22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29" spans="1:141" ht="15">
      <c r="A22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0" spans="1:141" ht="15">
      <c r="A23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1" spans="1:141" ht="15">
      <c r="A23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2" spans="1:141" ht="15">
      <c r="A23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3" spans="1:141" ht="15">
      <c r="A23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4" spans="1:141" ht="15">
      <c r="A23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5" spans="1:141" ht="15">
      <c r="A23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6" spans="1:141" ht="15">
      <c r="A23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7" spans="1:141" ht="15">
      <c r="A23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8" spans="1:141" ht="15">
      <c r="A23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39" spans="1:141" ht="15">
      <c r="A23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0" spans="1:141" ht="15">
      <c r="A24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1" spans="1:141" ht="15">
      <c r="A24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2" spans="1:141" ht="15">
      <c r="A24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3" spans="1:141" ht="15">
      <c r="A24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4" spans="1:141" ht="15">
      <c r="A24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5" spans="1:141" ht="15">
      <c r="A24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6" spans="1:141" ht="15">
      <c r="A24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7" spans="1:141" ht="15">
      <c r="A24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8" spans="1:141" ht="15">
      <c r="A24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49" spans="1:141" ht="15">
      <c r="A24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0" spans="1:141" ht="15">
      <c r="A250"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1" spans="1:141" ht="15">
      <c r="A251"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2" spans="1:141" ht="15">
      <c r="A252"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3" spans="1:141" ht="15">
      <c r="A253"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4" spans="1:141" ht="15">
      <c r="A254"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5" spans="1:141" ht="15">
      <c r="A255"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6" spans="1:141" ht="15">
      <c r="A256"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7" spans="1:141" ht="15">
      <c r="A257"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8" spans="1:141" ht="15">
      <c r="A258"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59" spans="1:141" ht="15">
      <c r="A259"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20"/>
      <c s="65"/>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260" spans="1:141" ht="15">
      <c r="A260"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t="s">
        <v>38</v>
      </c>
      <c s="20"/>
      <c s="65"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75" t="s">
        <v>408</v>
      </c>
      <c s="76" t="s">
        <v>408</v>
      </c>
      <c s="65" t="s">
        <v>408</v>
      </c>
      <c s="65"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2" t="s">
        <v>408</v>
      </c>
      <c s="73" t="s">
        <v>408</v>
      </c>
      <c s="73" t="s">
        <v>408</v>
      </c>
      <c s="73" t="s">
        <v>408</v>
      </c>
      <c s="73" t="s">
        <v>408</v>
      </c>
      <c s="74" t="s">
        <v>408</v>
      </c>
      <c s="74" t="s">
        <v>408</v>
      </c>
      <c s="69" t="s">
        <v>408</v>
      </c>
      <c s="69" t="s">
        <v>408</v>
      </c>
      <c s="77"/>
    </row>
    <row r="301" spans="1:1" ht="14.25">
      <c r="A301" s="109" t="s">
        <v>43</v>
      </c>
    </row>
    <row r="302" spans="1:1" ht="14.25">
      <c r="A302" s="109" t="s">
        <v>54</v>
      </c>
    </row>
    <row r="303" spans="1:1" ht="14.25">
      <c r="A303" s="109" t="s">
        <v>55</v>
      </c>
    </row>
    <row r="304" spans="1:1" ht="14.25">
      <c r="A304" s="109" t="s">
        <v>56</v>
      </c>
    </row>
    <row r="305" spans="1:1" ht="14.25">
      <c r="A305" s="109" t="s">
        <v>57</v>
      </c>
    </row>
    <row r="306" spans="1:1" ht="14.25">
      <c r="A306" s="109" t="s">
        <v>58</v>
      </c>
    </row>
    <row r="307" spans="1:1" ht="14.25">
      <c r="A307" s="109" t="s">
        <v>59</v>
      </c>
    </row>
    <row r="308" spans="1:1" ht="14.25">
      <c r="A308" s="109" t="s">
        <v>60</v>
      </c>
    </row>
    <row r="309" spans="1:1" ht="14.25">
      <c r="A309" s="109" t="s">
        <v>61</v>
      </c>
    </row>
    <row r="310" spans="1:1" ht="14.25">
      <c r="A310" s="109" t="s">
        <v>62</v>
      </c>
    </row>
    <row r="311" spans="1:1" ht="14.25">
      <c r="A311" s="109" t="s">
        <v>63</v>
      </c>
    </row>
    <row r="312" spans="1:1" ht="14.25">
      <c r="A312" s="109" t="s">
        <v>64</v>
      </c>
    </row>
    <row r="313" spans="1:1" ht="14.25">
      <c r="A313" s="109" t="s">
        <v>65</v>
      </c>
    </row>
    <row r="314" spans="1:1" ht="14.25">
      <c r="A314" s="109" t="s">
        <v>66</v>
      </c>
    </row>
    <row r="315" spans="1:1" ht="14.25">
      <c r="A315" s="109" t="s">
        <v>67</v>
      </c>
    </row>
    <row r="324" spans="1:2" ht="14.25">
      <c r="A324" s="109" t="s">
        <v>41</v>
      </c>
      <c s="109" t="s">
        <v>42</v>
      </c>
    </row>
    <row r="325" spans="1:2" ht="14.25">
      <c r="A325" s="109" t="s">
        <v>68</v>
      </c>
      <c s="109" t="s">
        <v>55</v>
      </c>
    </row>
    <row r="326" spans="1:2" ht="14.25">
      <c r="A326" s="109" t="s">
        <v>69</v>
      </c>
      <c s="109" t="s">
        <v>55</v>
      </c>
    </row>
    <row r="327" spans="1:2" ht="14.25">
      <c r="A327" s="109" t="s">
        <v>70</v>
      </c>
      <c s="109" t="s">
        <v>55</v>
      </c>
    </row>
    <row r="328" spans="1:2" ht="14.25">
      <c r="A328" s="109" t="s">
        <v>71</v>
      </c>
      <c s="109" t="s">
        <v>55</v>
      </c>
    </row>
    <row r="329" spans="1:2" ht="14.25">
      <c r="A329" s="109" t="s">
        <v>72</v>
      </c>
      <c s="109" t="s">
        <v>57</v>
      </c>
    </row>
    <row r="330" spans="1:2" ht="14.25">
      <c r="A330" s="109" t="s">
        <v>73</v>
      </c>
      <c s="109" t="s">
        <v>57</v>
      </c>
    </row>
    <row r="331" spans="1:2" ht="14.25">
      <c r="A331" s="109" t="s">
        <v>74</v>
      </c>
      <c s="109" t="s">
        <v>57</v>
      </c>
    </row>
    <row r="332" spans="1:2" ht="14.25">
      <c r="A332" s="109" t="s">
        <v>75</v>
      </c>
      <c s="109" t="s">
        <v>57</v>
      </c>
    </row>
    <row r="333" spans="1:2" ht="14.25">
      <c r="A333" s="109" t="s">
        <v>76</v>
      </c>
      <c s="109" t="s">
        <v>57</v>
      </c>
    </row>
    <row r="334" spans="1:2" ht="14.25">
      <c r="A334" s="109" t="s">
        <v>77</v>
      </c>
      <c s="109" t="s">
        <v>57</v>
      </c>
    </row>
    <row r="335" spans="1:2" ht="14.25">
      <c r="A335" s="109" t="s">
        <v>78</v>
      </c>
      <c s="109" t="s">
        <v>57</v>
      </c>
    </row>
    <row r="336" spans="1:2" ht="14.25">
      <c r="A336" s="109" t="s">
        <v>79</v>
      </c>
      <c s="109" t="s">
        <v>57</v>
      </c>
    </row>
    <row r="337" spans="1:2" ht="14.25">
      <c r="A337" s="109" t="s">
        <v>80</v>
      </c>
      <c s="109" t="s">
        <v>57</v>
      </c>
    </row>
    <row r="338" spans="1:2" ht="14.25">
      <c r="A338" s="109" t="s">
        <v>81</v>
      </c>
      <c s="109" t="s">
        <v>57</v>
      </c>
    </row>
    <row r="339" spans="1:2" ht="14.25">
      <c r="A339" s="109" t="s">
        <v>82</v>
      </c>
      <c s="109" t="s">
        <v>57</v>
      </c>
    </row>
    <row r="340" spans="1:2" ht="14.25">
      <c r="A340" s="109" t="s">
        <v>83</v>
      </c>
      <c s="109" t="s">
        <v>57</v>
      </c>
    </row>
    <row r="341" spans="1:2" ht="14.25">
      <c r="A341" s="109" t="s">
        <v>84</v>
      </c>
      <c s="109" t="s">
        <v>57</v>
      </c>
    </row>
    <row r="342" spans="1:2" ht="14.25">
      <c r="A342" s="109" t="s">
        <v>85</v>
      </c>
      <c s="109" t="s">
        <v>57</v>
      </c>
    </row>
    <row r="343" spans="1:2" ht="14.25">
      <c r="A343" s="109" t="s">
        <v>86</v>
      </c>
      <c s="109" t="s">
        <v>57</v>
      </c>
    </row>
    <row r="344" spans="1:2" ht="14.25">
      <c r="A344" s="109" t="s">
        <v>87</v>
      </c>
      <c s="109" t="s">
        <v>57</v>
      </c>
    </row>
    <row r="345" spans="1:2" ht="14.25">
      <c r="A345" s="109" t="s">
        <v>88</v>
      </c>
      <c s="109" t="s">
        <v>57</v>
      </c>
    </row>
    <row r="346" spans="1:2" ht="14.25">
      <c r="A346" s="109" t="s">
        <v>89</v>
      </c>
      <c s="109" t="s">
        <v>58</v>
      </c>
    </row>
    <row r="347" spans="1:2" ht="14.25">
      <c r="A347" s="109" t="s">
        <v>90</v>
      </c>
      <c s="109" t="s">
        <v>58</v>
      </c>
    </row>
    <row r="348" spans="1:2" ht="14.25">
      <c r="A348" s="109" t="s">
        <v>91</v>
      </c>
      <c s="109" t="s">
        <v>58</v>
      </c>
    </row>
    <row r="349" spans="1:2" ht="14.25">
      <c r="A349" s="109" t="s">
        <v>92</v>
      </c>
      <c s="109" t="s">
        <v>58</v>
      </c>
    </row>
    <row r="350" spans="1:2" ht="14.25">
      <c r="A350" s="109" t="s">
        <v>93</v>
      </c>
      <c s="109" t="s">
        <v>58</v>
      </c>
    </row>
    <row r="351" spans="1:2" ht="14.25">
      <c r="A351" s="109" t="s">
        <v>94</v>
      </c>
      <c s="109" t="s">
        <v>58</v>
      </c>
    </row>
    <row r="352" spans="1:2" ht="14.25">
      <c r="A352" s="109" t="s">
        <v>95</v>
      </c>
      <c s="109" t="s">
        <v>58</v>
      </c>
    </row>
    <row r="353" spans="1:2" ht="14.25">
      <c r="A353" s="109" t="s">
        <v>96</v>
      </c>
      <c s="109" t="s">
        <v>58</v>
      </c>
    </row>
    <row r="354" spans="1:2" ht="14.25">
      <c r="A354" s="109" t="s">
        <v>97</v>
      </c>
      <c s="109" t="s">
        <v>58</v>
      </c>
    </row>
    <row r="355" spans="1:2" ht="14.25">
      <c r="A355" s="109" t="s">
        <v>98</v>
      </c>
      <c s="109" t="s">
        <v>58</v>
      </c>
    </row>
    <row r="356" spans="1:2" ht="14.25">
      <c r="A356" s="109" t="s">
        <v>99</v>
      </c>
      <c s="109" t="s">
        <v>58</v>
      </c>
    </row>
    <row r="357" spans="1:2" ht="14.25">
      <c r="A357" s="109" t="s">
        <v>100</v>
      </c>
      <c s="109" t="s">
        <v>58</v>
      </c>
    </row>
    <row r="358" spans="1:2" ht="14.25">
      <c r="A358" s="109" t="s">
        <v>101</v>
      </c>
      <c s="109" t="s">
        <v>58</v>
      </c>
    </row>
    <row r="359" spans="1:2" ht="14.25">
      <c r="A359" s="109" t="s">
        <v>102</v>
      </c>
      <c s="109" t="s">
        <v>58</v>
      </c>
    </row>
    <row r="360" spans="1:2" ht="14.25">
      <c r="A360" s="109" t="s">
        <v>103</v>
      </c>
      <c s="109" t="s">
        <v>58</v>
      </c>
    </row>
    <row r="361" spans="1:2" ht="14.25">
      <c r="A361" s="109" t="s">
        <v>104</v>
      </c>
      <c s="109" t="s">
        <v>58</v>
      </c>
    </row>
    <row r="362" spans="1:2" ht="14.25">
      <c r="A362" s="109" t="s">
        <v>105</v>
      </c>
      <c s="109" t="s">
        <v>58</v>
      </c>
    </row>
    <row r="363" spans="1:2" ht="14.25">
      <c r="A363" s="109" t="s">
        <v>106</v>
      </c>
      <c s="109" t="s">
        <v>58</v>
      </c>
    </row>
    <row r="364" spans="1:2" ht="14.25">
      <c r="A364" s="109" t="s">
        <v>107</v>
      </c>
      <c s="109" t="s">
        <v>58</v>
      </c>
    </row>
    <row r="365" spans="1:2" ht="14.25">
      <c r="A365" s="109" t="s">
        <v>108</v>
      </c>
      <c s="109" t="s">
        <v>58</v>
      </c>
    </row>
    <row r="366" spans="1:2" ht="14.25">
      <c r="A366" s="109" t="s">
        <v>109</v>
      </c>
      <c s="109" t="s">
        <v>58</v>
      </c>
    </row>
    <row r="367" spans="1:2" ht="14.25">
      <c r="A367" s="109" t="s">
        <v>110</v>
      </c>
      <c s="109" t="s">
        <v>58</v>
      </c>
    </row>
    <row r="368" spans="1:2" ht="14.25">
      <c r="A368" s="109" t="s">
        <v>111</v>
      </c>
      <c s="109" t="s">
        <v>58</v>
      </c>
    </row>
    <row r="369" spans="1:2" ht="14.25">
      <c r="A369" s="109" t="s">
        <v>112</v>
      </c>
      <c s="109" t="s">
        <v>58</v>
      </c>
    </row>
    <row r="370" spans="1:2" ht="14.25">
      <c r="A370" s="109" t="s">
        <v>113</v>
      </c>
      <c s="109" t="s">
        <v>58</v>
      </c>
    </row>
    <row r="371" spans="1:2" ht="14.25">
      <c r="A371" s="109" t="s">
        <v>114</v>
      </c>
      <c s="109" t="s">
        <v>58</v>
      </c>
    </row>
    <row r="372" spans="1:2" ht="14.25">
      <c r="A372" s="109" t="s">
        <v>115</v>
      </c>
      <c s="109" t="s">
        <v>58</v>
      </c>
    </row>
    <row r="373" spans="1:2" ht="14.25">
      <c r="A373" s="109" t="s">
        <v>116</v>
      </c>
      <c s="109" t="s">
        <v>58</v>
      </c>
    </row>
    <row r="374" spans="1:2" ht="14.25">
      <c r="A374" s="109" t="s">
        <v>117</v>
      </c>
      <c s="109" t="s">
        <v>58</v>
      </c>
    </row>
    <row r="375" spans="1:2" ht="14.25">
      <c r="A375" s="109" t="s">
        <v>118</v>
      </c>
      <c s="109" t="s">
        <v>58</v>
      </c>
    </row>
    <row r="376" spans="1:2" ht="14.25">
      <c r="A376" s="109" t="s">
        <v>119</v>
      </c>
      <c s="109" t="s">
        <v>58</v>
      </c>
    </row>
    <row r="377" spans="1:2" ht="14.25">
      <c r="A377" s="109" t="s">
        <v>120</v>
      </c>
      <c s="109" t="s">
        <v>58</v>
      </c>
    </row>
    <row r="378" spans="1:2" ht="14.25">
      <c r="A378" s="109" t="s">
        <v>121</v>
      </c>
      <c s="109" t="s">
        <v>58</v>
      </c>
    </row>
    <row r="379" spans="1:2" ht="14.25">
      <c r="A379" s="109" t="s">
        <v>122</v>
      </c>
      <c s="109" t="s">
        <v>58</v>
      </c>
    </row>
    <row r="380" spans="1:2" ht="14.25">
      <c r="A380" s="109" t="s">
        <v>123</v>
      </c>
      <c s="109" t="s">
        <v>59</v>
      </c>
    </row>
    <row r="381" spans="1:2" ht="14.25">
      <c r="A381" s="109" t="s">
        <v>124</v>
      </c>
      <c s="109" t="s">
        <v>59</v>
      </c>
    </row>
    <row r="382" spans="1:2" ht="14.25">
      <c r="A382" s="109" t="s">
        <v>125</v>
      </c>
      <c s="109" t="s">
        <v>59</v>
      </c>
    </row>
    <row r="383" spans="1:2" ht="14.25">
      <c r="A383" s="109" t="s">
        <v>126</v>
      </c>
      <c s="109" t="s">
        <v>59</v>
      </c>
    </row>
    <row r="384" spans="1:2" ht="14.25">
      <c r="A384" s="109" t="s">
        <v>127</v>
      </c>
      <c s="109" t="s">
        <v>59</v>
      </c>
    </row>
    <row r="385" spans="1:2" ht="14.25">
      <c r="A385" s="109" t="s">
        <v>128</v>
      </c>
      <c s="109" t="s">
        <v>59</v>
      </c>
    </row>
    <row r="386" spans="1:2" ht="14.25">
      <c r="A386" s="109" t="s">
        <v>129</v>
      </c>
      <c s="109" t="s">
        <v>59</v>
      </c>
    </row>
    <row r="387" spans="1:2" ht="14.25">
      <c r="A387" s="109" t="s">
        <v>130</v>
      </c>
      <c s="109" t="s">
        <v>59</v>
      </c>
    </row>
    <row r="388" spans="1:2" ht="14.25">
      <c r="A388" s="109" t="s">
        <v>131</v>
      </c>
      <c s="109" t="s">
        <v>59</v>
      </c>
    </row>
    <row r="389" spans="1:2" ht="14.25">
      <c r="A389" s="109" t="s">
        <v>132</v>
      </c>
      <c s="109" t="s">
        <v>59</v>
      </c>
    </row>
    <row r="390" spans="1:2" ht="14.25">
      <c r="A390" s="109" t="s">
        <v>133</v>
      </c>
      <c s="109" t="s">
        <v>59</v>
      </c>
    </row>
    <row r="391" spans="1:2" ht="14.25">
      <c r="A391" s="109" t="s">
        <v>134</v>
      </c>
      <c s="109" t="s">
        <v>59</v>
      </c>
    </row>
    <row r="392" spans="1:2" ht="14.25">
      <c r="A392" s="109" t="s">
        <v>135</v>
      </c>
      <c s="109" t="s">
        <v>59</v>
      </c>
    </row>
    <row r="393" spans="1:2" ht="14.25">
      <c r="A393" s="109" t="s">
        <v>136</v>
      </c>
      <c s="109" t="s">
        <v>59</v>
      </c>
    </row>
    <row r="394" spans="1:2" ht="14.25">
      <c r="A394" s="109" t="s">
        <v>137</v>
      </c>
      <c s="109" t="s">
        <v>59</v>
      </c>
    </row>
    <row r="395" spans="1:2" ht="14.25">
      <c r="A395" s="109" t="s">
        <v>138</v>
      </c>
      <c s="109" t="s">
        <v>59</v>
      </c>
    </row>
    <row r="396" spans="1:2" ht="14.25">
      <c r="A396" s="109" t="s">
        <v>139</v>
      </c>
      <c s="109" t="s">
        <v>59</v>
      </c>
    </row>
    <row r="397" spans="1:2" ht="14.25">
      <c r="A397" s="109" t="s">
        <v>140</v>
      </c>
      <c s="109" t="s">
        <v>59</v>
      </c>
    </row>
    <row r="398" spans="1:2" ht="14.25">
      <c r="A398" s="109" t="s">
        <v>141</v>
      </c>
      <c s="109" t="s">
        <v>59</v>
      </c>
    </row>
    <row r="399" spans="1:2" ht="14.25">
      <c r="A399" s="109" t="s">
        <v>142</v>
      </c>
      <c s="109" t="s">
        <v>59</v>
      </c>
    </row>
    <row r="400" spans="1:2" ht="14.25">
      <c r="A400" s="109" t="s">
        <v>143</v>
      </c>
      <c s="109" t="s">
        <v>59</v>
      </c>
    </row>
    <row r="401" spans="1:2" ht="14.25">
      <c r="A401" s="109" t="s">
        <v>144</v>
      </c>
      <c s="109" t="s">
        <v>59</v>
      </c>
    </row>
    <row r="402" spans="1:2" ht="14.25">
      <c r="A402" s="109" t="s">
        <v>145</v>
      </c>
      <c s="109" t="s">
        <v>59</v>
      </c>
    </row>
    <row r="403" spans="1:2" ht="14.25">
      <c r="A403" s="109" t="s">
        <v>146</v>
      </c>
      <c s="109" t="s">
        <v>59</v>
      </c>
    </row>
    <row r="404" spans="1:2" ht="14.25">
      <c r="A404" s="109" t="s">
        <v>147</v>
      </c>
      <c s="109" t="s">
        <v>59</v>
      </c>
    </row>
    <row r="405" spans="1:2" ht="14.25">
      <c r="A405" s="109" t="s">
        <v>148</v>
      </c>
      <c s="109" t="s">
        <v>59</v>
      </c>
    </row>
    <row r="406" spans="1:2" ht="14.25">
      <c r="A406" s="109" t="s">
        <v>149</v>
      </c>
      <c s="109" t="s">
        <v>59</v>
      </c>
    </row>
    <row r="407" spans="1:2" ht="14.25">
      <c r="A407" s="109" t="s">
        <v>150</v>
      </c>
      <c s="109" t="s">
        <v>59</v>
      </c>
    </row>
    <row r="408" spans="1:2" ht="14.25">
      <c r="A408" s="109" t="s">
        <v>151</v>
      </c>
      <c s="109" t="s">
        <v>59</v>
      </c>
    </row>
    <row r="409" spans="1:2" ht="14.25">
      <c r="A409" s="109" t="s">
        <v>152</v>
      </c>
      <c s="109" t="s">
        <v>59</v>
      </c>
    </row>
    <row r="410" spans="1:2" ht="14.25">
      <c r="A410" s="109" t="s">
        <v>153</v>
      </c>
      <c s="109" t="s">
        <v>59</v>
      </c>
    </row>
    <row r="411" spans="1:2" ht="14.25">
      <c r="A411" s="109" t="s">
        <v>154</v>
      </c>
      <c s="109" t="s">
        <v>59</v>
      </c>
    </row>
    <row r="412" spans="1:2" ht="14.25">
      <c r="A412" s="109" t="s">
        <v>155</v>
      </c>
      <c s="109" t="s">
        <v>59</v>
      </c>
    </row>
    <row r="413" spans="1:2" ht="14.25">
      <c r="A413" s="109" t="s">
        <v>156</v>
      </c>
      <c s="109" t="s">
        <v>59</v>
      </c>
    </row>
    <row r="414" spans="1:2" ht="14.25">
      <c r="A414" s="109" t="s">
        <v>157</v>
      </c>
      <c s="109" t="s">
        <v>59</v>
      </c>
    </row>
    <row r="415" spans="1:2" ht="14.25">
      <c r="A415" s="109" t="s">
        <v>158</v>
      </c>
      <c s="109" t="s">
        <v>59</v>
      </c>
    </row>
    <row r="416" spans="1:2" ht="14.25">
      <c r="A416" s="109" t="s">
        <v>159</v>
      </c>
      <c s="109" t="s">
        <v>59</v>
      </c>
    </row>
    <row r="417" spans="1:2" ht="14.25">
      <c r="A417" s="109" t="s">
        <v>160</v>
      </c>
      <c s="109" t="s">
        <v>59</v>
      </c>
    </row>
    <row r="418" spans="1:2" ht="14.25">
      <c r="A418" s="109" t="s">
        <v>161</v>
      </c>
      <c s="109" t="s">
        <v>59</v>
      </c>
    </row>
    <row r="419" spans="1:2" ht="14.25">
      <c r="A419" s="109" t="s">
        <v>162</v>
      </c>
      <c s="109" t="s">
        <v>59</v>
      </c>
    </row>
    <row r="420" spans="1:2" ht="14.25">
      <c r="A420" s="109" t="s">
        <v>163</v>
      </c>
      <c s="109" t="s">
        <v>59</v>
      </c>
    </row>
    <row r="421" spans="1:2" ht="14.25">
      <c r="A421" s="109" t="s">
        <v>164</v>
      </c>
      <c s="109" t="s">
        <v>59</v>
      </c>
    </row>
    <row r="422" spans="1:2" ht="14.25">
      <c r="A422" s="109" t="s">
        <v>165</v>
      </c>
      <c s="109" t="s">
        <v>59</v>
      </c>
    </row>
    <row r="423" spans="1:2" ht="14.25">
      <c r="A423" s="109" t="s">
        <v>166</v>
      </c>
      <c s="109" t="s">
        <v>59</v>
      </c>
    </row>
    <row r="424" spans="1:2" ht="14.25">
      <c r="A424" s="109" t="s">
        <v>167</v>
      </c>
      <c s="109" t="s">
        <v>59</v>
      </c>
    </row>
    <row r="425" spans="1:2" ht="14.25">
      <c r="A425" s="109" t="s">
        <v>168</v>
      </c>
      <c s="109" t="s">
        <v>59</v>
      </c>
    </row>
    <row r="426" spans="1:2" ht="14.25">
      <c r="A426" s="109" t="s">
        <v>169</v>
      </c>
      <c s="109" t="s">
        <v>59</v>
      </c>
    </row>
    <row r="427" spans="1:2" ht="14.25">
      <c r="A427" s="109" t="s">
        <v>170</v>
      </c>
      <c s="109" t="s">
        <v>59</v>
      </c>
    </row>
    <row r="428" spans="1:2" ht="14.25">
      <c r="A428" s="109" t="s">
        <v>171</v>
      </c>
      <c s="109" t="s">
        <v>59</v>
      </c>
    </row>
    <row r="429" spans="1:2" ht="14.25">
      <c r="A429" s="109" t="s">
        <v>172</v>
      </c>
      <c s="109" t="s">
        <v>59</v>
      </c>
    </row>
    <row r="430" spans="1:2" ht="14.25">
      <c r="A430" s="109" t="s">
        <v>173</v>
      </c>
      <c s="109" t="s">
        <v>59</v>
      </c>
    </row>
    <row r="431" spans="1:2" ht="14.25">
      <c r="A431" s="109" t="s">
        <v>174</v>
      </c>
      <c s="109" t="s">
        <v>59</v>
      </c>
    </row>
    <row r="432" spans="1:2" ht="14.25">
      <c r="A432" s="109" t="s">
        <v>175</v>
      </c>
      <c s="109" t="s">
        <v>59</v>
      </c>
    </row>
    <row r="433" spans="1:2" ht="14.25">
      <c r="A433" s="109" t="s">
        <v>176</v>
      </c>
      <c s="109" t="s">
        <v>59</v>
      </c>
    </row>
    <row r="434" spans="1:2" ht="14.25">
      <c r="A434" s="109" t="s">
        <v>177</v>
      </c>
      <c s="109" t="s">
        <v>59</v>
      </c>
    </row>
    <row r="435" spans="1:2" ht="14.25">
      <c r="A435" s="109" t="s">
        <v>178</v>
      </c>
      <c s="109" t="s">
        <v>59</v>
      </c>
    </row>
    <row r="436" spans="1:2" ht="14.25">
      <c r="A436" s="109" t="s">
        <v>179</v>
      </c>
      <c s="109" t="s">
        <v>59</v>
      </c>
    </row>
    <row r="437" spans="1:2" ht="14.25">
      <c r="A437" s="109" t="s">
        <v>180</v>
      </c>
      <c s="109" t="s">
        <v>59</v>
      </c>
    </row>
    <row r="438" spans="1:2" ht="14.25">
      <c r="A438" s="109" t="s">
        <v>181</v>
      </c>
      <c s="109" t="s">
        <v>59</v>
      </c>
    </row>
    <row r="439" spans="1:2" ht="14.25">
      <c r="A439" s="109" t="s">
        <v>182</v>
      </c>
      <c s="109" t="s">
        <v>59</v>
      </c>
    </row>
    <row r="440" spans="1:2" ht="14.25">
      <c r="A440" s="109" t="s">
        <v>183</v>
      </c>
      <c s="109" t="s">
        <v>59</v>
      </c>
    </row>
    <row r="441" spans="1:2" ht="14.25">
      <c r="A441" s="109" t="s">
        <v>184</v>
      </c>
      <c s="109" t="s">
        <v>59</v>
      </c>
    </row>
    <row r="442" spans="1:2" ht="14.25">
      <c r="A442" s="109" t="s">
        <v>185</v>
      </c>
      <c s="109" t="s">
        <v>59</v>
      </c>
    </row>
    <row r="443" spans="1:2" ht="14.25">
      <c r="A443" s="109" t="s">
        <v>186</v>
      </c>
      <c s="109" t="s">
        <v>59</v>
      </c>
    </row>
    <row r="444" spans="1:2" ht="14.25">
      <c r="A444" s="109" t="s">
        <v>187</v>
      </c>
      <c s="109" t="s">
        <v>59</v>
      </c>
    </row>
    <row r="445" spans="1:2" ht="14.25">
      <c r="A445" s="109" t="s">
        <v>188</v>
      </c>
      <c s="109" t="s">
        <v>59</v>
      </c>
    </row>
    <row r="446" spans="1:2" ht="14.25">
      <c r="A446" s="109" t="s">
        <v>189</v>
      </c>
      <c s="109" t="s">
        <v>59</v>
      </c>
    </row>
    <row r="447" spans="1:2" ht="14.25">
      <c r="A447" s="109" t="s">
        <v>190</v>
      </c>
      <c s="109" t="s">
        <v>59</v>
      </c>
    </row>
    <row r="448" spans="1:2" ht="14.25">
      <c r="A448" s="109" t="s">
        <v>191</v>
      </c>
      <c s="109" t="s">
        <v>59</v>
      </c>
    </row>
    <row r="449" spans="1:2" ht="14.25">
      <c r="A449" s="109" t="s">
        <v>192</v>
      </c>
      <c s="109" t="s">
        <v>59</v>
      </c>
    </row>
    <row r="450" spans="1:2" ht="14.25">
      <c r="A450" s="109" t="s">
        <v>193</v>
      </c>
      <c s="109" t="s">
        <v>59</v>
      </c>
    </row>
    <row r="451" spans="1:2" ht="14.25">
      <c r="A451" s="109" t="s">
        <v>194</v>
      </c>
      <c s="109" t="s">
        <v>59</v>
      </c>
    </row>
    <row r="452" spans="1:2" ht="14.25">
      <c r="A452" s="109" t="s">
        <v>195</v>
      </c>
      <c s="109" t="s">
        <v>59</v>
      </c>
    </row>
    <row r="453" spans="1:2" ht="14.25">
      <c r="A453" s="109" t="s">
        <v>196</v>
      </c>
      <c s="109" t="s">
        <v>59</v>
      </c>
    </row>
    <row r="454" spans="1:2" ht="14.25">
      <c r="A454" s="109" t="s">
        <v>197</v>
      </c>
      <c s="109" t="s">
        <v>59</v>
      </c>
    </row>
    <row r="455" spans="1:2" ht="14.25">
      <c r="A455" s="109" t="s">
        <v>198</v>
      </c>
      <c s="109" t="s">
        <v>59</v>
      </c>
    </row>
    <row r="456" spans="1:2" ht="14.25">
      <c r="A456" s="109" t="s">
        <v>199</v>
      </c>
      <c s="109" t="s">
        <v>59</v>
      </c>
    </row>
    <row r="457" spans="1:2" ht="14.25">
      <c r="A457" s="109" t="s">
        <v>200</v>
      </c>
      <c s="109" t="s">
        <v>59</v>
      </c>
    </row>
    <row r="458" spans="1:2" ht="14.25">
      <c r="A458" s="109" t="s">
        <v>201</v>
      </c>
      <c s="109" t="s">
        <v>59</v>
      </c>
    </row>
    <row r="459" spans="1:2" ht="14.25">
      <c r="A459" s="109" t="s">
        <v>202</v>
      </c>
      <c s="109" t="s">
        <v>59</v>
      </c>
    </row>
    <row r="460" spans="1:2" ht="14.25">
      <c r="A460" s="109" t="s">
        <v>203</v>
      </c>
      <c s="109" t="s">
        <v>59</v>
      </c>
    </row>
    <row r="461" spans="1:2" ht="14.25">
      <c r="A461" s="109" t="s">
        <v>204</v>
      </c>
      <c s="109" t="s">
        <v>59</v>
      </c>
    </row>
    <row r="462" spans="1:2" ht="14.25">
      <c r="A462" s="109" t="s">
        <v>205</v>
      </c>
      <c s="109" t="s">
        <v>59</v>
      </c>
    </row>
    <row r="463" spans="1:2" ht="14.25">
      <c r="A463" s="109" t="s">
        <v>206</v>
      </c>
      <c s="109" t="s">
        <v>59</v>
      </c>
    </row>
    <row r="464" spans="1:2" ht="14.25">
      <c r="A464" s="109" t="s">
        <v>207</v>
      </c>
      <c s="109" t="s">
        <v>59</v>
      </c>
    </row>
    <row r="465" spans="1:2" ht="14.25">
      <c r="A465" s="109" t="s">
        <v>208</v>
      </c>
      <c s="109" t="s">
        <v>59</v>
      </c>
    </row>
    <row r="466" spans="1:2" ht="14.25">
      <c r="A466" s="109" t="s">
        <v>209</v>
      </c>
      <c s="109" t="s">
        <v>59</v>
      </c>
    </row>
    <row r="467" spans="1:2" ht="14.25">
      <c r="A467" s="109" t="s">
        <v>210</v>
      </c>
      <c s="109" t="s">
        <v>59</v>
      </c>
    </row>
    <row r="468" spans="1:2" ht="14.25">
      <c r="A468" s="109" t="s">
        <v>211</v>
      </c>
      <c s="109" t="s">
        <v>59</v>
      </c>
    </row>
    <row r="469" spans="1:2" ht="14.25">
      <c r="A469" s="109" t="s">
        <v>212</v>
      </c>
      <c s="109" t="s">
        <v>59</v>
      </c>
    </row>
    <row r="470" spans="1:2" ht="14.25">
      <c r="A470" s="109" t="s">
        <v>213</v>
      </c>
      <c s="109" t="s">
        <v>59</v>
      </c>
    </row>
    <row r="471" spans="1:2" ht="14.25">
      <c r="A471" s="109" t="s">
        <v>214</v>
      </c>
      <c s="109" t="s">
        <v>59</v>
      </c>
    </row>
    <row r="472" spans="1:2" ht="14.25">
      <c r="A472" s="109" t="s">
        <v>215</v>
      </c>
      <c s="109" t="s">
        <v>59</v>
      </c>
    </row>
    <row r="473" spans="1:2" ht="14.25">
      <c r="A473" s="109" t="s">
        <v>216</v>
      </c>
      <c s="109" t="s">
        <v>59</v>
      </c>
    </row>
    <row r="474" spans="1:2" ht="14.25">
      <c r="A474" s="109" t="s">
        <v>217</v>
      </c>
      <c s="109" t="s">
        <v>59</v>
      </c>
    </row>
    <row r="475" spans="1:2" ht="14.25">
      <c r="A475" s="109" t="s">
        <v>218</v>
      </c>
      <c s="109" t="s">
        <v>59</v>
      </c>
    </row>
    <row r="476" spans="1:2" ht="14.25">
      <c r="A476" s="109" t="s">
        <v>219</v>
      </c>
      <c s="109" t="s">
        <v>59</v>
      </c>
    </row>
    <row r="477" spans="1:2" ht="14.25">
      <c r="A477" s="109" t="s">
        <v>220</v>
      </c>
      <c s="109" t="s">
        <v>59</v>
      </c>
    </row>
    <row r="478" spans="1:2" ht="14.25">
      <c r="A478" s="109" t="s">
        <v>221</v>
      </c>
      <c s="109" t="s">
        <v>59</v>
      </c>
    </row>
    <row r="479" spans="1:2" ht="14.25">
      <c r="A479" s="109" t="s">
        <v>222</v>
      </c>
      <c s="109" t="s">
        <v>59</v>
      </c>
    </row>
    <row r="480" spans="1:2" ht="14.25">
      <c r="A480" s="109" t="s">
        <v>223</v>
      </c>
      <c s="109" t="s">
        <v>59</v>
      </c>
    </row>
    <row r="481" spans="1:2" ht="14.25">
      <c r="A481" s="109" t="s">
        <v>224</v>
      </c>
      <c s="109" t="s">
        <v>59</v>
      </c>
    </row>
    <row r="482" spans="1:2" ht="14.25">
      <c r="A482" s="109" t="s">
        <v>225</v>
      </c>
      <c s="109" t="s">
        <v>59</v>
      </c>
    </row>
    <row r="483" spans="1:2" ht="14.25">
      <c r="A483" s="109" t="s">
        <v>226</v>
      </c>
      <c s="109" t="s">
        <v>59</v>
      </c>
    </row>
    <row r="484" spans="1:2" ht="14.25">
      <c r="A484" s="109" t="s">
        <v>227</v>
      </c>
      <c s="109" t="s">
        <v>59</v>
      </c>
    </row>
    <row r="485" spans="1:2" ht="14.25">
      <c r="A485" s="109" t="s">
        <v>228</v>
      </c>
      <c s="109" t="s">
        <v>59</v>
      </c>
    </row>
    <row r="486" spans="1:2" ht="14.25">
      <c r="A486" s="109" t="s">
        <v>229</v>
      </c>
      <c s="109" t="s">
        <v>59</v>
      </c>
    </row>
    <row r="487" spans="1:2" ht="14.25">
      <c r="A487" s="109" t="s">
        <v>230</v>
      </c>
      <c s="109" t="s">
        <v>59</v>
      </c>
    </row>
    <row r="488" spans="1:2" ht="14.25">
      <c r="A488" s="109" t="s">
        <v>231</v>
      </c>
      <c s="109" t="s">
        <v>59</v>
      </c>
    </row>
    <row r="489" spans="1:2" ht="14.25">
      <c r="A489" s="109" t="s">
        <v>232</v>
      </c>
      <c s="109" t="s">
        <v>59</v>
      </c>
    </row>
    <row r="490" spans="1:2" ht="14.25">
      <c r="A490" s="109" t="s">
        <v>233</v>
      </c>
      <c s="109" t="s">
        <v>59</v>
      </c>
    </row>
    <row r="491" spans="1:2" ht="14.25">
      <c r="A491" s="109" t="s">
        <v>234</v>
      </c>
      <c s="109" t="s">
        <v>59</v>
      </c>
    </row>
    <row r="492" spans="1:2" ht="14.25">
      <c r="A492" s="109" t="s">
        <v>235</v>
      </c>
      <c s="109" t="s">
        <v>59</v>
      </c>
    </row>
    <row r="493" spans="1:2" ht="14.25">
      <c r="A493" s="109" t="s">
        <v>236</v>
      </c>
      <c s="109" t="s">
        <v>59</v>
      </c>
    </row>
    <row r="494" spans="1:2" ht="14.25">
      <c r="A494" s="109" t="s">
        <v>237</v>
      </c>
      <c s="109" t="s">
        <v>59</v>
      </c>
    </row>
    <row r="495" spans="1:2" ht="14.25">
      <c r="A495" s="109" t="s">
        <v>238</v>
      </c>
      <c s="109" t="s">
        <v>59</v>
      </c>
    </row>
    <row r="496" spans="1:2" ht="14.25">
      <c r="A496" s="109" t="s">
        <v>239</v>
      </c>
      <c s="109" t="s">
        <v>59</v>
      </c>
    </row>
    <row r="497" spans="1:2" ht="14.25">
      <c r="A497" s="109" t="s">
        <v>240</v>
      </c>
      <c s="109" t="s">
        <v>59</v>
      </c>
    </row>
    <row r="498" spans="1:2" ht="14.25">
      <c r="A498" s="109" t="s">
        <v>241</v>
      </c>
      <c s="109" t="s">
        <v>59</v>
      </c>
    </row>
    <row r="499" spans="1:2" ht="14.25">
      <c r="A499" s="109" t="s">
        <v>242</v>
      </c>
      <c s="109" t="s">
        <v>59</v>
      </c>
    </row>
    <row r="500" spans="1:2" ht="14.25">
      <c r="A500" s="109" t="s">
        <v>243</v>
      </c>
      <c s="109" t="s">
        <v>59</v>
      </c>
    </row>
    <row r="501" spans="1:2" ht="14.25">
      <c r="A501" s="109" t="s">
        <v>244</v>
      </c>
      <c s="109" t="s">
        <v>59</v>
      </c>
    </row>
    <row r="502" spans="1:2" ht="14.25">
      <c r="A502" s="109" t="s">
        <v>245</v>
      </c>
      <c s="109" t="s">
        <v>59</v>
      </c>
    </row>
    <row r="503" spans="1:2" ht="14.25">
      <c r="A503" s="109" t="s">
        <v>246</v>
      </c>
      <c s="109" t="s">
        <v>59</v>
      </c>
    </row>
    <row r="504" spans="1:2" ht="14.25">
      <c r="A504" s="109" t="s">
        <v>247</v>
      </c>
      <c s="109" t="s">
        <v>59</v>
      </c>
    </row>
    <row r="505" spans="1:2" ht="14.25">
      <c r="A505" s="109" t="s">
        <v>248</v>
      </c>
      <c s="109" t="s">
        <v>59</v>
      </c>
    </row>
    <row r="506" spans="1:2" ht="14.25">
      <c r="A506" s="109" t="s">
        <v>249</v>
      </c>
      <c s="109" t="s">
        <v>59</v>
      </c>
    </row>
    <row r="507" spans="1:2" ht="14.25">
      <c r="A507" s="109" t="s">
        <v>250</v>
      </c>
      <c s="109" t="s">
        <v>59</v>
      </c>
    </row>
    <row r="508" spans="1:2" ht="14.25">
      <c r="A508" s="109" t="s">
        <v>251</v>
      </c>
      <c s="109" t="s">
        <v>59</v>
      </c>
    </row>
    <row r="509" spans="1:2" ht="14.25">
      <c r="A509" s="109" t="s">
        <v>252</v>
      </c>
      <c s="109" t="s">
        <v>59</v>
      </c>
    </row>
    <row r="510" spans="1:2" ht="14.25">
      <c r="A510" s="109" t="s">
        <v>253</v>
      </c>
      <c s="109" t="s">
        <v>59</v>
      </c>
    </row>
    <row r="511" spans="1:2" ht="14.25">
      <c r="A511" s="109" t="s">
        <v>254</v>
      </c>
      <c s="109" t="s">
        <v>59</v>
      </c>
    </row>
    <row r="512" spans="1:2" ht="14.25">
      <c r="A512" s="109" t="s">
        <v>255</v>
      </c>
      <c s="109" t="s">
        <v>59</v>
      </c>
    </row>
    <row r="513" spans="1:2" ht="14.25">
      <c r="A513" s="109" t="s">
        <v>256</v>
      </c>
      <c s="109" t="s">
        <v>59</v>
      </c>
    </row>
    <row r="514" spans="1:2" ht="14.25">
      <c r="A514" s="109" t="s">
        <v>257</v>
      </c>
      <c s="109" t="s">
        <v>59</v>
      </c>
    </row>
    <row r="515" spans="1:2" ht="14.25">
      <c r="A515" s="109" t="s">
        <v>258</v>
      </c>
      <c s="109" t="s">
        <v>59</v>
      </c>
    </row>
    <row r="516" spans="1:2" ht="14.25">
      <c r="A516" s="109" t="s">
        <v>259</v>
      </c>
      <c s="109" t="s">
        <v>59</v>
      </c>
    </row>
    <row r="517" spans="1:2" ht="14.25">
      <c r="A517" s="109" t="s">
        <v>260</v>
      </c>
      <c s="109" t="s">
        <v>59</v>
      </c>
    </row>
    <row r="518" spans="1:2" ht="14.25">
      <c r="A518" s="109" t="s">
        <v>261</v>
      </c>
      <c s="109" t="s">
        <v>59</v>
      </c>
    </row>
    <row r="519" spans="1:2" ht="14.25">
      <c r="A519" s="109" t="s">
        <v>262</v>
      </c>
      <c s="109" t="s">
        <v>59</v>
      </c>
    </row>
    <row r="520" spans="1:2" ht="14.25">
      <c r="A520" s="109" t="s">
        <v>263</v>
      </c>
      <c s="109" t="s">
        <v>59</v>
      </c>
    </row>
    <row r="521" spans="1:2" ht="14.25">
      <c r="A521" s="109" t="s">
        <v>264</v>
      </c>
      <c s="109" t="s">
        <v>59</v>
      </c>
    </row>
    <row r="522" spans="1:2" ht="14.25">
      <c r="A522" s="109" t="s">
        <v>265</v>
      </c>
      <c s="109" t="s">
        <v>59</v>
      </c>
    </row>
    <row r="523" spans="1:2" ht="14.25">
      <c r="A523" s="109" t="s">
        <v>266</v>
      </c>
      <c s="109" t="s">
        <v>59</v>
      </c>
    </row>
    <row r="524" spans="1:2" ht="14.25">
      <c r="A524" s="109" t="s">
        <v>267</v>
      </c>
      <c s="109" t="s">
        <v>59</v>
      </c>
    </row>
    <row r="525" spans="1:2" ht="14.25">
      <c r="A525" s="109" t="s">
        <v>268</v>
      </c>
      <c s="109" t="s">
        <v>59</v>
      </c>
    </row>
    <row r="526" spans="1:2" ht="14.25">
      <c r="A526" s="109" t="s">
        <v>269</v>
      </c>
      <c s="109" t="s">
        <v>59</v>
      </c>
    </row>
    <row r="527" spans="1:2" ht="14.25">
      <c r="A527" s="109" t="s">
        <v>270</v>
      </c>
      <c s="109" t="s">
        <v>59</v>
      </c>
    </row>
    <row r="528" spans="1:2" ht="14.25">
      <c r="A528" s="109" t="s">
        <v>271</v>
      </c>
      <c s="109" t="s">
        <v>59</v>
      </c>
    </row>
    <row r="529" spans="1:2" ht="14.25">
      <c r="A529" s="109" t="s">
        <v>272</v>
      </c>
      <c s="109" t="s">
        <v>59</v>
      </c>
    </row>
    <row r="530" spans="1:2" ht="14.25">
      <c r="A530" s="109" t="s">
        <v>273</v>
      </c>
      <c s="109" t="s">
        <v>59</v>
      </c>
    </row>
    <row r="531" spans="1:2" ht="14.25">
      <c r="A531" s="109" t="s">
        <v>274</v>
      </c>
      <c s="109" t="s">
        <v>59</v>
      </c>
    </row>
    <row r="532" spans="1:2" ht="14.25">
      <c r="A532" s="109" t="s">
        <v>275</v>
      </c>
      <c s="109" t="s">
        <v>59</v>
      </c>
    </row>
    <row r="533" spans="1:2" ht="14.25">
      <c r="A533" s="109" t="s">
        <v>276</v>
      </c>
      <c s="109" t="s">
        <v>59</v>
      </c>
    </row>
    <row r="534" spans="1:2" ht="14.25">
      <c r="A534" s="109" t="s">
        <v>277</v>
      </c>
      <c s="109" t="s">
        <v>59</v>
      </c>
    </row>
    <row r="535" spans="1:2" ht="14.25">
      <c r="A535" s="109" t="s">
        <v>278</v>
      </c>
      <c s="109" t="s">
        <v>59</v>
      </c>
    </row>
    <row r="536" spans="1:2" ht="14.25">
      <c r="A536" s="109" t="s">
        <v>279</v>
      </c>
      <c s="109" t="s">
        <v>59</v>
      </c>
    </row>
    <row r="537" spans="1:2" ht="14.25">
      <c r="A537" s="109" t="s">
        <v>280</v>
      </c>
      <c s="109" t="s">
        <v>59</v>
      </c>
    </row>
    <row r="538" spans="1:2" ht="14.25">
      <c r="A538" s="109" t="s">
        <v>281</v>
      </c>
      <c s="109" t="s">
        <v>59</v>
      </c>
    </row>
    <row r="539" spans="1:2" ht="14.25">
      <c r="A539" s="109" t="s">
        <v>282</v>
      </c>
      <c s="109" t="s">
        <v>59</v>
      </c>
    </row>
    <row r="540" spans="1:2" ht="14.25">
      <c r="A540" s="109" t="s">
        <v>283</v>
      </c>
      <c s="109" t="s">
        <v>59</v>
      </c>
    </row>
    <row r="541" spans="1:2" ht="14.25">
      <c r="A541" s="109" t="s">
        <v>284</v>
      </c>
      <c s="109" t="s">
        <v>59</v>
      </c>
    </row>
    <row r="542" spans="1:2" ht="14.25">
      <c r="A542" s="109" t="s">
        <v>285</v>
      </c>
      <c s="109" t="s">
        <v>59</v>
      </c>
    </row>
    <row r="543" spans="1:2" ht="14.25">
      <c r="A543" s="109" t="s">
        <v>286</v>
      </c>
      <c s="109" t="s">
        <v>59</v>
      </c>
    </row>
    <row r="544" spans="1:2" ht="14.25">
      <c r="A544" s="109" t="s">
        <v>287</v>
      </c>
      <c s="109" t="s">
        <v>59</v>
      </c>
    </row>
    <row r="545" spans="1:2" ht="14.25">
      <c r="A545" s="109" t="s">
        <v>288</v>
      </c>
      <c s="109" t="s">
        <v>59</v>
      </c>
    </row>
    <row r="546" spans="1:2" ht="14.25">
      <c r="A546" s="109" t="s">
        <v>289</v>
      </c>
      <c s="109" t="s">
        <v>59</v>
      </c>
    </row>
    <row r="547" spans="1:2" ht="14.25">
      <c r="A547" s="109" t="s">
        <v>290</v>
      </c>
      <c s="109" t="s">
        <v>59</v>
      </c>
    </row>
    <row r="548" spans="1:2" ht="14.25">
      <c r="A548" s="109" t="s">
        <v>291</v>
      </c>
      <c s="109" t="s">
        <v>59</v>
      </c>
    </row>
    <row r="549" spans="1:2" ht="14.25">
      <c r="A549" s="109" t="s">
        <v>292</v>
      </c>
      <c s="109" t="s">
        <v>59</v>
      </c>
    </row>
    <row r="550" spans="1:2" ht="14.25">
      <c r="A550" s="109" t="s">
        <v>293</v>
      </c>
      <c s="109" t="s">
        <v>59</v>
      </c>
    </row>
    <row r="551" spans="1:2" ht="14.25">
      <c r="A551" s="109" t="s">
        <v>294</v>
      </c>
      <c s="109" t="s">
        <v>59</v>
      </c>
    </row>
    <row r="552" spans="1:2" ht="14.25">
      <c r="A552" s="109" t="s">
        <v>295</v>
      </c>
      <c s="109" t="s">
        <v>59</v>
      </c>
    </row>
    <row r="553" spans="1:2" ht="14.25">
      <c r="A553" s="109" t="s">
        <v>296</v>
      </c>
      <c s="109" t="s">
        <v>59</v>
      </c>
    </row>
    <row r="554" spans="1:2" ht="14.25">
      <c r="A554" s="109" t="s">
        <v>297</v>
      </c>
      <c s="109" t="s">
        <v>59</v>
      </c>
    </row>
    <row r="555" spans="1:2" ht="14.25">
      <c r="A555" s="109" t="s">
        <v>298</v>
      </c>
      <c s="109" t="s">
        <v>59</v>
      </c>
    </row>
    <row r="556" spans="1:2" ht="14.25">
      <c r="A556" s="109" t="s">
        <v>299</v>
      </c>
      <c s="109" t="s">
        <v>59</v>
      </c>
    </row>
    <row r="557" spans="1:2" ht="14.25">
      <c r="A557" s="109" t="s">
        <v>300</v>
      </c>
      <c s="109" t="s">
        <v>59</v>
      </c>
    </row>
    <row r="558" spans="1:2" ht="14.25">
      <c r="A558" s="109" t="s">
        <v>301</v>
      </c>
      <c s="109" t="s">
        <v>59</v>
      </c>
    </row>
    <row r="559" spans="1:2" ht="14.25">
      <c r="A559" s="109" t="s">
        <v>302</v>
      </c>
      <c s="109" t="s">
        <v>59</v>
      </c>
    </row>
    <row r="560" spans="1:2" ht="14.25">
      <c r="A560" s="109" t="s">
        <v>303</v>
      </c>
      <c s="109" t="s">
        <v>59</v>
      </c>
    </row>
    <row r="561" spans="1:2" ht="14.25">
      <c r="A561" s="109" t="s">
        <v>304</v>
      </c>
      <c s="109" t="s">
        <v>59</v>
      </c>
    </row>
    <row r="562" spans="1:2" ht="14.25">
      <c r="A562" s="109" t="s">
        <v>305</v>
      </c>
      <c s="109" t="s">
        <v>59</v>
      </c>
    </row>
    <row r="563" spans="1:2" ht="14.25">
      <c r="A563" s="109" t="s">
        <v>306</v>
      </c>
      <c s="109" t="s">
        <v>59</v>
      </c>
    </row>
    <row r="564" spans="1:2" ht="14.25">
      <c r="A564" s="109" t="s">
        <v>307</v>
      </c>
      <c s="109" t="s">
        <v>59</v>
      </c>
    </row>
    <row r="565" spans="1:2" ht="14.25">
      <c r="A565" s="109" t="s">
        <v>308</v>
      </c>
      <c s="109" t="s">
        <v>59</v>
      </c>
    </row>
    <row r="566" spans="1:2" ht="14.25">
      <c r="A566" s="109" t="s">
        <v>309</v>
      </c>
      <c s="109" t="s">
        <v>59</v>
      </c>
    </row>
    <row r="567" spans="1:2" ht="14.25">
      <c r="A567" s="109" t="s">
        <v>310</v>
      </c>
      <c s="109" t="s">
        <v>59</v>
      </c>
    </row>
    <row r="568" spans="1:2" ht="14.25">
      <c r="A568" s="109" t="s">
        <v>311</v>
      </c>
      <c s="109" t="s">
        <v>59</v>
      </c>
    </row>
    <row r="569" spans="1:2" ht="14.25">
      <c r="A569" s="109" t="s">
        <v>312</v>
      </c>
      <c s="109" t="s">
        <v>59</v>
      </c>
    </row>
    <row r="570" spans="1:2" ht="14.25">
      <c r="A570" s="109" t="s">
        <v>313</v>
      </c>
      <c s="109" t="s">
        <v>59</v>
      </c>
    </row>
    <row r="571" spans="1:2" ht="14.25">
      <c r="A571" s="109" t="s">
        <v>314</v>
      </c>
      <c s="109" t="s">
        <v>59</v>
      </c>
    </row>
    <row r="572" spans="1:2" ht="14.25">
      <c r="A572" s="109" t="s">
        <v>315</v>
      </c>
      <c s="109" t="s">
        <v>59</v>
      </c>
    </row>
    <row r="573" spans="1:2" ht="14.25">
      <c r="A573" s="109" t="s">
        <v>316</v>
      </c>
      <c s="109" t="s">
        <v>59</v>
      </c>
    </row>
    <row r="574" spans="1:2" ht="14.25">
      <c r="A574" s="109" t="s">
        <v>317</v>
      </c>
      <c s="109" t="s">
        <v>59</v>
      </c>
    </row>
    <row r="575" spans="1:2" ht="14.25">
      <c r="A575" s="109" t="s">
        <v>318</v>
      </c>
      <c s="109" t="s">
        <v>59</v>
      </c>
    </row>
    <row r="576" spans="1:2" ht="14.25">
      <c r="A576" s="109" t="s">
        <v>319</v>
      </c>
      <c s="109" t="s">
        <v>59</v>
      </c>
    </row>
    <row r="577" spans="1:2" ht="14.25">
      <c r="A577" s="109" t="s">
        <v>320</v>
      </c>
      <c s="109" t="s">
        <v>59</v>
      </c>
    </row>
    <row r="578" spans="1:2" ht="14.25">
      <c r="A578" s="109" t="s">
        <v>321</v>
      </c>
      <c s="109" t="s">
        <v>59</v>
      </c>
    </row>
    <row r="579" spans="1:2" ht="14.25">
      <c r="A579" s="109" t="s">
        <v>322</v>
      </c>
      <c s="109" t="s">
        <v>59</v>
      </c>
    </row>
    <row r="580" spans="1:2" ht="14.25">
      <c r="A580" s="109" t="s">
        <v>323</v>
      </c>
      <c s="109" t="s">
        <v>59</v>
      </c>
    </row>
    <row r="581" spans="1:2" ht="14.25">
      <c r="A581" s="109" t="s">
        <v>324</v>
      </c>
      <c s="109" t="s">
        <v>59</v>
      </c>
    </row>
    <row r="582" spans="1:2" ht="14.25">
      <c r="A582" s="109" t="s">
        <v>325</v>
      </c>
      <c s="109" t="s">
        <v>59</v>
      </c>
    </row>
    <row r="583" spans="1:2" ht="14.25">
      <c r="A583" s="109" t="s">
        <v>326</v>
      </c>
      <c s="109" t="s">
        <v>61</v>
      </c>
    </row>
    <row r="584" spans="1:2" ht="14.25">
      <c r="A584" s="109" t="s">
        <v>327</v>
      </c>
      <c s="109" t="s">
        <v>61</v>
      </c>
    </row>
    <row r="585" spans="1:2" ht="14.25">
      <c r="A585" s="109" t="s">
        <v>328</v>
      </c>
      <c s="109" t="s">
        <v>61</v>
      </c>
    </row>
    <row r="586" spans="1:2" ht="14.25">
      <c r="A586" s="109" t="s">
        <v>329</v>
      </c>
      <c s="109" t="s">
        <v>61</v>
      </c>
    </row>
    <row r="587" spans="1:2" ht="14.25">
      <c r="A587" s="109" t="s">
        <v>330</v>
      </c>
      <c s="109" t="s">
        <v>61</v>
      </c>
    </row>
    <row r="588" spans="1:2" ht="14.25">
      <c r="A588" s="109" t="s">
        <v>331</v>
      </c>
      <c s="109" t="s">
        <v>61</v>
      </c>
    </row>
    <row r="589" spans="1:2" ht="14.25">
      <c r="A589" s="109" t="s">
        <v>332</v>
      </c>
      <c s="109" t="s">
        <v>61</v>
      </c>
    </row>
    <row r="590" spans="1:2" ht="14.25">
      <c r="A590" s="109" t="s">
        <v>333</v>
      </c>
      <c s="109" t="s">
        <v>61</v>
      </c>
    </row>
    <row r="591" spans="1:2" ht="14.25">
      <c r="A591" s="109" t="s">
        <v>334</v>
      </c>
      <c s="109" t="s">
        <v>61</v>
      </c>
    </row>
    <row r="592" spans="1:2" ht="14.25">
      <c r="A592" s="109" t="s">
        <v>335</v>
      </c>
      <c s="109" t="s">
        <v>61</v>
      </c>
    </row>
    <row r="593" spans="1:2" ht="14.25">
      <c r="A593" s="109" t="s">
        <v>336</v>
      </c>
      <c s="109" t="s">
        <v>61</v>
      </c>
    </row>
    <row r="594" spans="1:2" ht="14.25">
      <c r="A594" s="109" t="s">
        <v>337</v>
      </c>
      <c s="109" t="s">
        <v>61</v>
      </c>
    </row>
    <row r="595" spans="1:2" ht="14.25">
      <c r="A595" s="109" t="s">
        <v>338</v>
      </c>
      <c s="109" t="s">
        <v>61</v>
      </c>
    </row>
    <row r="596" spans="1:2" ht="14.25">
      <c r="A596" s="109" t="s">
        <v>339</v>
      </c>
      <c s="109" t="s">
        <v>61</v>
      </c>
    </row>
    <row r="597" spans="1:2" ht="14.25">
      <c r="A597" s="109" t="s">
        <v>340</v>
      </c>
      <c s="109" t="s">
        <v>61</v>
      </c>
    </row>
    <row r="598" spans="1:2" ht="14.25">
      <c r="A598" s="109" t="s">
        <v>341</v>
      </c>
      <c s="109" t="s">
        <v>61</v>
      </c>
    </row>
    <row r="599" spans="1:2" ht="14.25">
      <c r="A599" s="109" t="s">
        <v>342</v>
      </c>
      <c s="109" t="s">
        <v>61</v>
      </c>
    </row>
    <row r="600" spans="1:2" ht="14.25">
      <c r="A600" s="109" t="s">
        <v>343</v>
      </c>
      <c s="109" t="s">
        <v>61</v>
      </c>
    </row>
    <row r="601" spans="1:2" ht="14.25">
      <c r="A601" s="109" t="s">
        <v>344</v>
      </c>
      <c s="109" t="s">
        <v>61</v>
      </c>
    </row>
    <row r="602" spans="1:2" ht="14.25">
      <c r="A602" s="109" t="s">
        <v>345</v>
      </c>
      <c s="109" t="s">
        <v>61</v>
      </c>
    </row>
    <row r="603" spans="1:2" ht="14.25">
      <c r="A603" s="109" t="s">
        <v>346</v>
      </c>
      <c s="109" t="s">
        <v>61</v>
      </c>
    </row>
    <row r="604" spans="1:2" ht="14.25">
      <c r="A604" s="109" t="s">
        <v>347</v>
      </c>
      <c s="109" t="s">
        <v>61</v>
      </c>
    </row>
    <row r="605" spans="1:2" ht="14.25">
      <c r="A605" s="109" t="s">
        <v>348</v>
      </c>
      <c s="109" t="s">
        <v>61</v>
      </c>
    </row>
    <row r="606" spans="1:2" ht="14.25">
      <c r="A606" s="109" t="s">
        <v>349</v>
      </c>
      <c s="109" t="s">
        <v>61</v>
      </c>
    </row>
    <row r="607" spans="1:2" ht="14.25">
      <c r="A607" s="109" t="s">
        <v>350</v>
      </c>
      <c s="109" t="s">
        <v>61</v>
      </c>
    </row>
    <row r="608" spans="1:2" ht="14.25">
      <c r="A608" s="109" t="s">
        <v>351</v>
      </c>
      <c s="109" t="s">
        <v>61</v>
      </c>
    </row>
    <row r="609" spans="1:2" ht="14.25">
      <c r="A609" s="109" t="s">
        <v>352</v>
      </c>
      <c s="109" t="s">
        <v>61</v>
      </c>
    </row>
    <row r="610" spans="1:2" ht="14.25">
      <c r="A610" s="109" t="s">
        <v>353</v>
      </c>
      <c s="109" t="s">
        <v>61</v>
      </c>
    </row>
    <row r="611" spans="1:2" ht="14.25">
      <c r="A611" s="109" t="s">
        <v>354</v>
      </c>
      <c s="109" t="s">
        <v>61</v>
      </c>
    </row>
    <row r="612" spans="1:2" ht="14.25">
      <c r="A612" s="109" t="s">
        <v>355</v>
      </c>
      <c s="109" t="s">
        <v>61</v>
      </c>
    </row>
    <row r="613" spans="1:2" ht="14.25">
      <c r="A613" s="109" t="s">
        <v>356</v>
      </c>
      <c s="109" t="s">
        <v>61</v>
      </c>
    </row>
    <row r="614" spans="1:2" ht="14.25">
      <c r="A614" s="109" t="s">
        <v>357</v>
      </c>
      <c s="109" t="s">
        <v>61</v>
      </c>
    </row>
    <row r="615" spans="1:2" ht="14.25">
      <c r="A615" s="109" t="s">
        <v>358</v>
      </c>
      <c s="109" t="s">
        <v>61</v>
      </c>
    </row>
    <row r="616" spans="1:2" ht="14.25">
      <c r="A616" s="109" t="s">
        <v>359</v>
      </c>
      <c s="109" t="s">
        <v>61</v>
      </c>
    </row>
    <row r="617" spans="1:2" ht="14.25">
      <c r="A617" s="109" t="s">
        <v>360</v>
      </c>
      <c s="109" t="s">
        <v>61</v>
      </c>
    </row>
    <row r="618" spans="1:2" ht="14.25">
      <c r="A618" s="109" t="s">
        <v>361</v>
      </c>
      <c s="109" t="s">
        <v>61</v>
      </c>
    </row>
    <row r="619" spans="1:2" ht="14.25">
      <c r="A619" s="109" t="s">
        <v>362</v>
      </c>
      <c s="109" t="s">
        <v>61</v>
      </c>
    </row>
    <row r="620" spans="1:2" ht="14.25">
      <c r="A620" s="109" t="s">
        <v>363</v>
      </c>
      <c s="109" t="s">
        <v>61</v>
      </c>
    </row>
    <row r="621" spans="1:2" ht="14.25">
      <c r="A621" s="109" t="s">
        <v>364</v>
      </c>
      <c s="109" t="s">
        <v>61</v>
      </c>
    </row>
    <row r="622" spans="1:2" ht="14.25">
      <c r="A622" s="109" t="s">
        <v>365</v>
      </c>
      <c s="109" t="s">
        <v>61</v>
      </c>
    </row>
    <row r="623" spans="1:2" ht="14.25">
      <c r="A623" s="109" t="s">
        <v>366</v>
      </c>
      <c s="109" t="s">
        <v>61</v>
      </c>
    </row>
    <row r="624" spans="1:2" ht="14.25">
      <c r="A624" s="109" t="s">
        <v>367</v>
      </c>
      <c s="109" t="s">
        <v>61</v>
      </c>
    </row>
    <row r="625" spans="1:2" ht="14.25">
      <c r="A625" s="109" t="s">
        <v>368</v>
      </c>
      <c s="109" t="s">
        <v>61</v>
      </c>
    </row>
    <row r="626" spans="1:2" ht="14.25">
      <c r="A626" s="109" t="s">
        <v>369</v>
      </c>
      <c s="109" t="s">
        <v>61</v>
      </c>
    </row>
    <row r="627" spans="1:2" ht="14.25">
      <c r="A627" s="109" t="s">
        <v>370</v>
      </c>
      <c s="109" t="s">
        <v>61</v>
      </c>
    </row>
    <row r="628" spans="1:2" ht="14.25">
      <c r="A628" s="109" t="s">
        <v>371</v>
      </c>
      <c s="109" t="s">
        <v>61</v>
      </c>
    </row>
    <row r="629" spans="1:2" ht="14.25">
      <c r="A629" s="109" t="s">
        <v>372</v>
      </c>
      <c s="109" t="s">
        <v>61</v>
      </c>
    </row>
    <row r="630" spans="1:2" ht="14.25">
      <c r="A630" s="109" t="s">
        <v>373</v>
      </c>
      <c s="109" t="s">
        <v>61</v>
      </c>
    </row>
    <row r="631" spans="1:2" ht="14.25">
      <c r="A631" s="109" t="s">
        <v>374</v>
      </c>
      <c s="109" t="s">
        <v>61</v>
      </c>
    </row>
    <row r="632" spans="1:2" ht="14.25">
      <c r="A632" s="109" t="s">
        <v>375</v>
      </c>
      <c s="109" t="s">
        <v>61</v>
      </c>
    </row>
    <row r="633" spans="1:2" ht="14.25">
      <c r="A633" s="109" t="s">
        <v>376</v>
      </c>
      <c s="109" t="s">
        <v>61</v>
      </c>
    </row>
    <row r="634" spans="1:2" ht="14.25">
      <c r="A634" s="109" t="s">
        <v>377</v>
      </c>
      <c s="109" t="s">
        <v>61</v>
      </c>
    </row>
    <row r="635" spans="1:2" ht="14.25">
      <c r="A635" s="109" t="s">
        <v>378</v>
      </c>
      <c s="109" t="s">
        <v>61</v>
      </c>
    </row>
    <row r="636" spans="1:2" ht="14.25">
      <c r="A636" s="109" t="s">
        <v>379</v>
      </c>
      <c s="109" t="s">
        <v>61</v>
      </c>
    </row>
    <row r="637" spans="1:2" ht="14.25">
      <c r="A637" s="109" t="s">
        <v>380</v>
      </c>
      <c s="109" t="s">
        <v>61</v>
      </c>
    </row>
    <row r="638" spans="1:2" ht="14.25">
      <c r="A638" s="109" t="s">
        <v>381</v>
      </c>
      <c s="109" t="s">
        <v>61</v>
      </c>
    </row>
    <row r="639" spans="1:2" ht="14.25">
      <c r="A639" s="109" t="s">
        <v>382</v>
      </c>
      <c s="109" t="s">
        <v>61</v>
      </c>
    </row>
    <row r="640" spans="1:2" ht="14.25">
      <c r="A640" s="109" t="s">
        <v>383</v>
      </c>
      <c s="109" t="s">
        <v>61</v>
      </c>
    </row>
    <row r="641" spans="1:2" ht="14.25">
      <c r="A641" s="109" t="s">
        <v>384</v>
      </c>
      <c s="109" t="s">
        <v>61</v>
      </c>
    </row>
    <row r="642" spans="1:2" ht="14.25">
      <c r="A642" s="109" t="s">
        <v>385</v>
      </c>
      <c s="109" t="s">
        <v>61</v>
      </c>
    </row>
    <row r="643" spans="1:2" ht="14.25">
      <c r="A643" s="109" t="s">
        <v>386</v>
      </c>
      <c s="109" t="s">
        <v>61</v>
      </c>
    </row>
    <row r="644" spans="1:2" ht="14.25">
      <c r="A644" s="109" t="s">
        <v>387</v>
      </c>
      <c s="109" t="s">
        <v>61</v>
      </c>
    </row>
    <row r="645" spans="1:2" ht="14.25">
      <c r="A645" s="109" t="s">
        <v>388</v>
      </c>
      <c s="109" t="s">
        <v>61</v>
      </c>
    </row>
    <row r="646" spans="1:2" ht="14.25">
      <c r="A646" s="109" t="s">
        <v>389</v>
      </c>
      <c s="109" t="s">
        <v>65</v>
      </c>
    </row>
  </sheetData>
  <mergeCells count="102">
    <mergeCell ref="T1:Y1"/>
    <mergeCell ref="AA1:AJ1"/>
    <mergeCell ref="T2:Y2"/>
    <mergeCell ref="AA2:AJ2"/>
    <mergeCell ref="AL2:AL4"/>
    <mergeCell ref="T3:Y3"/>
    <mergeCell ref="AA3:AJ3"/>
    <mergeCell ref="T4:Y4"/>
    <mergeCell ref="AA4:AJ4"/>
    <mergeCell ref="V8:AA8"/>
    <mergeCell ref="V9:AA9"/>
    <mergeCell ref="P11:U11"/>
    <mergeCell ref="AB11:AG11"/>
    <mergeCell ref="P12:U13"/>
    <mergeCell ref="AB12:AG13"/>
    <mergeCell ref="J15:O15"/>
    <mergeCell ref="V15:AA15"/>
    <mergeCell ref="J16:O16"/>
    <mergeCell ref="V16:AA16"/>
    <mergeCell ref="D19:I20"/>
    <mergeCell ref="J19:O19"/>
    <mergeCell ref="R19:W19"/>
    <mergeCell ref="Z19:AG21"/>
    <mergeCell ref="J20:O21"/>
    <mergeCell ref="R20:W21"/>
    <mergeCell ref="D21:I21"/>
    <mergeCell ref="D25:R25"/>
    <mergeCell ref="T25:AH25"/>
    <mergeCell ref="E28:J28"/>
    <mergeCell ref="L28:Q28"/>
    <mergeCell ref="V28:AA28"/>
    <mergeCell ref="AB28:AG29"/>
    <mergeCell ref="E29:J29"/>
    <mergeCell ref="L29:Q29"/>
    <mergeCell ref="V29:AA29"/>
    <mergeCell ref="D33:F33"/>
    <mergeCell ref="H33:J33"/>
    <mergeCell ref="L33:N33"/>
    <mergeCell ref="P33:R33"/>
    <mergeCell ref="T33:V33"/>
    <mergeCell ref="X33:Z33"/>
    <mergeCell ref="AB33:AD33"/>
    <mergeCell ref="AF33:AH33"/>
    <mergeCell ref="D34:F34"/>
    <mergeCell ref="H34:J34"/>
    <mergeCell ref="L34:N34"/>
    <mergeCell ref="P34:R34"/>
    <mergeCell ref="T34:V34"/>
    <mergeCell ref="X34:Z34"/>
    <mergeCell ref="AB34:AD34"/>
    <mergeCell ref="AF34:AH34"/>
    <mergeCell ref="E36:F38"/>
    <mergeCell ref="I36:J38"/>
    <mergeCell ref="M36:N38"/>
    <mergeCell ref="Q36:R38"/>
    <mergeCell ref="U36:V38"/>
    <mergeCell ref="Y36:Z38"/>
    <mergeCell ref="AC36:AD38"/>
    <mergeCell ref="AG36:AH38"/>
    <mergeCell ref="AC39:AD41"/>
    <mergeCell ref="AG39:AH41"/>
    <mergeCell ref="E42:F44"/>
    <mergeCell ref="I42:J44"/>
    <mergeCell ref="M42:N44"/>
    <mergeCell ref="Q42:R44"/>
    <mergeCell ref="U42:V44"/>
    <mergeCell ref="Y42:Z44"/>
    <mergeCell ref="AC42:AD44"/>
    <mergeCell ref="AG42:AH44"/>
    <mergeCell ref="E39:F41"/>
    <mergeCell ref="I39:J41"/>
    <mergeCell ref="M39:N41"/>
    <mergeCell ref="Q39:R41"/>
    <mergeCell ref="U39:V41"/>
    <mergeCell ref="Y39:Z41"/>
    <mergeCell ref="EI109:EJ109"/>
    <mergeCell ref="AC48:AD50"/>
    <mergeCell ref="AG48:AH50"/>
    <mergeCell ref="E51:F53"/>
    <mergeCell ref="I51:J53"/>
    <mergeCell ref="M51:N53"/>
    <mergeCell ref="Q51:R53"/>
    <mergeCell ref="M48:N50"/>
    <mergeCell ref="Q48:R50"/>
    <mergeCell ref="U48:V50"/>
    <mergeCell ref="Y48:Z50"/>
    <mergeCell ref="U51:V53"/>
    <mergeCell ref="Y51:Z53"/>
    <mergeCell ref="AC51:AD53"/>
    <mergeCell ref="AG51:AH53"/>
    <mergeCell ref="E48:F50"/>
    <mergeCell ref="I48:J50"/>
    <mergeCell ref="C57:AI57"/>
    <mergeCell ref="E45:F47"/>
    <mergeCell ref="I45:J47"/>
    <mergeCell ref="M45:N47"/>
    <mergeCell ref="Q45:R47"/>
    <mergeCell ref="U45:V47"/>
    <mergeCell ref="Y45:Z47"/>
    <mergeCell ref="AC45:AD47"/>
    <mergeCell ref="AG45:AH47"/>
    <mergeCell ref="EC101:EH101"/>
  </mergeCells>
  <conditionalFormatting sqref="M14">
    <cfRule type="cellIs" priority="197" dxfId="1" operator="lessThan" stopIfTrue="1">
      <formula>0</formula>
    </cfRule>
    <cfRule type="cellIs" priority="196" dxfId="0" operator="greaterThan" stopIfTrue="1">
      <formula>0</formula>
    </cfRule>
  </conditionalFormatting>
  <conditionalFormatting sqref="D36">
    <cfRule type="expression" priority="195" dxfId="2">
      <formula>D36&lt;&gt;""</formula>
    </cfRule>
  </conditionalFormatting>
  <conditionalFormatting sqref="D37">
    <cfRule type="containsText" priority="147" dxfId="0" operator="containsText" stopIfTrue="1" text="*+">
      <formula>NOT(ISERROR(SEARCH("*+",D37)))</formula>
    </cfRule>
    <cfRule type="containsText" priority="146" dxfId="1" operator="containsText" stopIfTrue="1" text="*-">
      <formula>NOT(ISERROR(SEARCH("*-",D37)))</formula>
    </cfRule>
  </conditionalFormatting>
  <conditionalFormatting sqref="AL8:AL13">
    <cfRule type="containsText" priority="47" dxfId="45" operator="containsText" stopIfTrue="1" text="Retailer">
      <formula>NOT(ISERROR(SEARCH("Retailer",AL8)))</formula>
    </cfRule>
    <cfRule type="cellIs" priority="46" dxfId="46" operator="equal" stopIfTrue="1">
      <formula>"Retailer"</formula>
    </cfRule>
  </conditionalFormatting>
  <conditionalFormatting sqref="D39 D42 D45 D48 D51">
    <cfRule type="expression" priority="45" dxfId="2">
      <formula>D39&lt;&gt;""</formula>
    </cfRule>
  </conditionalFormatting>
  <conditionalFormatting sqref="D40 D43 D46 D49 D52">
    <cfRule type="containsText" priority="44" dxfId="0" operator="containsText" stopIfTrue="1" text="*+">
      <formula>NOT(ISERROR(SEARCH("*+",D40)))</formula>
    </cfRule>
    <cfRule type="containsText" priority="43" dxfId="1" operator="containsText" stopIfTrue="1" text="*-">
      <formula>NOT(ISERROR(SEARCH("*-",D40)))</formula>
    </cfRule>
  </conditionalFormatting>
  <conditionalFormatting sqref="H36">
    <cfRule type="expression" priority="42" dxfId="2">
      <formula>H36&lt;&gt;""</formula>
    </cfRule>
  </conditionalFormatting>
  <conditionalFormatting sqref="H37">
    <cfRule type="containsText" priority="41" dxfId="0" operator="containsText" stopIfTrue="1" text="*+">
      <formula>NOT(ISERROR(SEARCH("*+",H37)))</formula>
    </cfRule>
    <cfRule type="containsText" priority="40" dxfId="1" operator="containsText" stopIfTrue="1" text="*-">
      <formula>NOT(ISERROR(SEARCH("*-",H37)))</formula>
    </cfRule>
  </conditionalFormatting>
  <conditionalFormatting sqref="H39 H42 H45 H48 H51">
    <cfRule type="expression" priority="39" dxfId="2">
      <formula>H39&lt;&gt;""</formula>
    </cfRule>
  </conditionalFormatting>
  <conditionalFormatting sqref="H40 H43 H46 H49 H52">
    <cfRule type="containsText" priority="38" dxfId="0" operator="containsText" stopIfTrue="1" text="*+">
      <formula>NOT(ISERROR(SEARCH("*+",H40)))</formula>
    </cfRule>
    <cfRule type="containsText" priority="37" dxfId="1" operator="containsText" stopIfTrue="1" text="*-">
      <formula>NOT(ISERROR(SEARCH("*-",H40)))</formula>
    </cfRule>
  </conditionalFormatting>
  <conditionalFormatting sqref="L36">
    <cfRule type="expression" priority="36" dxfId="2">
      <formula>L36&lt;&gt;""</formula>
    </cfRule>
  </conditionalFormatting>
  <conditionalFormatting sqref="L37">
    <cfRule type="containsText" priority="35" dxfId="0" operator="containsText" stopIfTrue="1" text="*+">
      <formula>NOT(ISERROR(SEARCH("*+",L37)))</formula>
    </cfRule>
    <cfRule type="containsText" priority="34" dxfId="1" operator="containsText" stopIfTrue="1" text="*-">
      <formula>NOT(ISERROR(SEARCH("*-",L37)))</formula>
    </cfRule>
  </conditionalFormatting>
  <conditionalFormatting sqref="L39 L42 L45 L48 L51">
    <cfRule type="expression" priority="33" dxfId="2">
      <formula>L39&lt;&gt;""</formula>
    </cfRule>
  </conditionalFormatting>
  <conditionalFormatting sqref="L40 L43 L46 L49 L52">
    <cfRule type="containsText" priority="32" dxfId="0" operator="containsText" stopIfTrue="1" text="*+">
      <formula>NOT(ISERROR(SEARCH("*+",L40)))</formula>
    </cfRule>
    <cfRule type="containsText" priority="31" dxfId="1" operator="containsText" stopIfTrue="1" text="*-">
      <formula>NOT(ISERROR(SEARCH("*-",L40)))</formula>
    </cfRule>
  </conditionalFormatting>
  <conditionalFormatting sqref="P36">
    <cfRule type="expression" priority="30" dxfId="2">
      <formula>P36&lt;&gt;""</formula>
    </cfRule>
  </conditionalFormatting>
  <conditionalFormatting sqref="P37">
    <cfRule type="containsText" priority="29" dxfId="0" operator="containsText" stopIfTrue="1" text="*+">
      <formula>NOT(ISERROR(SEARCH("*+",P37)))</formula>
    </cfRule>
    <cfRule type="containsText" priority="28" dxfId="1" operator="containsText" stopIfTrue="1" text="*-">
      <formula>NOT(ISERROR(SEARCH("*-",P37)))</formula>
    </cfRule>
  </conditionalFormatting>
  <conditionalFormatting sqref="P39 P42 P45 P48 P51">
    <cfRule type="expression" priority="27" dxfId="2">
      <formula>P39&lt;&gt;""</formula>
    </cfRule>
  </conditionalFormatting>
  <conditionalFormatting sqref="P40 P43 P46 P49 P52">
    <cfRule type="containsText" priority="26" dxfId="0" operator="containsText" stopIfTrue="1" text="*+">
      <formula>NOT(ISERROR(SEARCH("*+",P40)))</formula>
    </cfRule>
    <cfRule type="containsText" priority="25" dxfId="1" operator="containsText" stopIfTrue="1" text="*-">
      <formula>NOT(ISERROR(SEARCH("*-",P40)))</formula>
    </cfRule>
  </conditionalFormatting>
  <conditionalFormatting sqref="T36">
    <cfRule type="expression" priority="24" dxfId="2">
      <formula>T36&lt;&gt;""</formula>
    </cfRule>
  </conditionalFormatting>
  <conditionalFormatting sqref="T37">
    <cfRule type="containsText" priority="23" dxfId="0" operator="containsText" stopIfTrue="1" text="*+">
      <formula>NOT(ISERROR(SEARCH("*+",T37)))</formula>
    </cfRule>
    <cfRule type="containsText" priority="22" dxfId="1" operator="containsText" stopIfTrue="1" text="*-">
      <formula>NOT(ISERROR(SEARCH("*-",T37)))</formula>
    </cfRule>
  </conditionalFormatting>
  <conditionalFormatting sqref="T39 T42 T45 T48 T51">
    <cfRule type="expression" priority="21" dxfId="2">
      <formula>T39&lt;&gt;""</formula>
    </cfRule>
  </conditionalFormatting>
  <conditionalFormatting sqref="T40 T43 T46 T49 T52">
    <cfRule type="containsText" priority="20" dxfId="0" operator="containsText" stopIfTrue="1" text="*+">
      <formula>NOT(ISERROR(SEARCH("*+",T40)))</formula>
    </cfRule>
    <cfRule type="containsText" priority="19" dxfId="1" operator="containsText" stopIfTrue="1" text="*-">
      <formula>NOT(ISERROR(SEARCH("*-",T40)))</formula>
    </cfRule>
  </conditionalFormatting>
  <conditionalFormatting sqref="X36">
    <cfRule type="expression" priority="18" dxfId="2">
      <formula>X36&lt;&gt;""</formula>
    </cfRule>
  </conditionalFormatting>
  <conditionalFormatting sqref="X37">
    <cfRule type="containsText" priority="17" dxfId="0" operator="containsText" stopIfTrue="1" text="*+">
      <formula>NOT(ISERROR(SEARCH("*+",X37)))</formula>
    </cfRule>
    <cfRule type="containsText" priority="16" dxfId="1" operator="containsText" stopIfTrue="1" text="*-">
      <formula>NOT(ISERROR(SEARCH("*-",X37)))</formula>
    </cfRule>
  </conditionalFormatting>
  <conditionalFormatting sqref="X39 X42 X45 X48 X51">
    <cfRule type="expression" priority="15" dxfId="2">
      <formula>X39&lt;&gt;""</formula>
    </cfRule>
  </conditionalFormatting>
  <conditionalFormatting sqref="X40 X43 X46 X49 X52">
    <cfRule type="containsText" priority="14" dxfId="0" operator="containsText" stopIfTrue="1" text="*+">
      <formula>NOT(ISERROR(SEARCH("*+",X40)))</formula>
    </cfRule>
    <cfRule type="containsText" priority="13" dxfId="1" operator="containsText" stopIfTrue="1" text="*-">
      <formula>NOT(ISERROR(SEARCH("*-",X40)))</formula>
    </cfRule>
  </conditionalFormatting>
  <conditionalFormatting sqref="AB36">
    <cfRule type="expression" priority="12" dxfId="2">
      <formula>AB36&lt;&gt;""</formula>
    </cfRule>
  </conditionalFormatting>
  <conditionalFormatting sqref="AB37">
    <cfRule type="containsText" priority="11" dxfId="0" operator="containsText" stopIfTrue="1" text="*+">
      <formula>NOT(ISERROR(SEARCH("*+",AB37)))</formula>
    </cfRule>
    <cfRule type="containsText" priority="10" dxfId="1" operator="containsText" stopIfTrue="1" text="*-">
      <formula>NOT(ISERROR(SEARCH("*-",AB37)))</formula>
    </cfRule>
  </conditionalFormatting>
  <conditionalFormatting sqref="AB39 AB42 AB45 AB48 AB51">
    <cfRule type="expression" priority="9" dxfId="2">
      <formula>AB39&lt;&gt;""</formula>
    </cfRule>
  </conditionalFormatting>
  <conditionalFormatting sqref="AB40 AB43 AB46 AB49 AB52">
    <cfRule type="containsText" priority="8" dxfId="0" operator="containsText" stopIfTrue="1" text="*+">
      <formula>NOT(ISERROR(SEARCH("*+",AB40)))</formula>
    </cfRule>
    <cfRule type="containsText" priority="7" dxfId="1" operator="containsText" stopIfTrue="1" text="*-">
      <formula>NOT(ISERROR(SEARCH("*-",AB40)))</formula>
    </cfRule>
  </conditionalFormatting>
  <conditionalFormatting sqref="AF36">
    <cfRule type="expression" priority="6" dxfId="2">
      <formula>AF36&lt;&gt;""</formula>
    </cfRule>
  </conditionalFormatting>
  <conditionalFormatting sqref="AF37">
    <cfRule type="containsText" priority="5" dxfId="0" operator="containsText" stopIfTrue="1" text="*+">
      <formula>NOT(ISERROR(SEARCH("*+",AF37)))</formula>
    </cfRule>
    <cfRule type="containsText" priority="4" dxfId="1" operator="containsText" stopIfTrue="1" text="*-">
      <formula>NOT(ISERROR(SEARCH("*-",AF37)))</formula>
    </cfRule>
  </conditionalFormatting>
  <conditionalFormatting sqref="AF39 AF42 AF45 AF48 AF51">
    <cfRule type="expression" priority="3" dxfId="2">
      <formula>AF39&lt;&gt;""</formula>
    </cfRule>
  </conditionalFormatting>
  <conditionalFormatting sqref="AF40 AF43 AF46 AF49 AF52">
    <cfRule type="containsText" priority="2" dxfId="0" operator="containsText" stopIfTrue="1" text="*+">
      <formula>NOT(ISERROR(SEARCH("*+",AF40)))</formula>
    </cfRule>
    <cfRule type="containsText" priority="1" dxfId="1" operator="containsText" stopIfTrue="1" text="*-">
      <formula>NOT(ISERROR(SEARCH("*-",AF40)))</formula>
    </cfRule>
  </conditionalFormatting>
  <dataValidations count="1">
    <dataValidation type="list" allowBlank="1" showInputMessage="1" showErrorMessage="1" sqref="AL8:AL13">
      <formula1>$CV$110:$CV$260</formula1>
    </dataValidation>
  </dataValidations>
  <printOptions/>
  <pageMargins left="0.3" right="0.3" top="0.3" bottom="0.3" header="0.3" footer="0.3"/>
  <pageSetup horizontalDpi="600" verticalDpi="600" orientation="landscape" scale="79"/>
  <legacyDrawing r:id="rId2"/>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rId1" Type="http://schemas.openxmlformats.org/officeDocument/2006/relationships/customXmlProps" Target="itemProps4.xml" /></Relationships>
</file>

<file path=customXml/_rels/item5.xml.rels><?xml version="1.0" encoding="utf-8" standalone="yes"?><Relationships xmlns="http://schemas.openxmlformats.org/package/2006/relationships"><Relationship Id="rId1" Type="http://schemas.openxmlformats.org/officeDocument/2006/relationships/customXmlProps" Target="itemProps5.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C2EA31C644F2F468A257FED1BA6D500" ma:contentTypeVersion="15" ma:contentTypeDescription="Create a new document." ma:contentTypeScope="" ma:versionID="364dcb448ce6eea082768ba290efa338">
  <xsd:schema xmlns:xsd="http://www.w3.org/2001/XMLSchema" xmlns:xs="http://www.w3.org/2001/XMLSchema" xmlns:p="http://schemas.microsoft.com/office/2006/metadata/properties" xmlns:ns1="http://schemas.microsoft.com/sharepoint/v3" xmlns:ns2="d628b1f6-c325-45a6-88f9-d0a4c869c4b8" xmlns:ns3="3a2a4c16-fb5f-4192-bb50-5a411843c667" targetNamespace="http://schemas.microsoft.com/office/2006/metadata/properties" ma:root="true" ma:fieldsID="eb5196115e2c4083db91ba97985ad644" ns1:_="" ns2:_="" ns3:_="">
    <xsd:import namespace="http://schemas.microsoft.com/sharepoint/v3"/>
    <xsd:import namespace="d628b1f6-c325-45a6-88f9-d0a4c869c4b8"/>
    <xsd:import namespace="3a2a4c16-fb5f-4192-bb50-5a411843c667"/>
    <xsd:element name="properties">
      <xsd:complexType>
        <xsd:sequence>
          <xsd:element name="documentManagement">
            <xsd:complexType>
              <xsd:all>
                <xsd:element ref="ns2:_dlc_DocId" minOccurs="0"/>
                <xsd:element ref="ns2:_dlc_DocIdUrl" minOccurs="0"/>
                <xsd:element ref="ns2:_dlc_DocIdPersistId" minOccurs="0"/>
                <xsd:element ref="ns3:Document_x0020_Type" minOccurs="0"/>
                <xsd:element ref="ns1:_dlc_Exempt" minOccurs="0"/>
                <xsd:element ref="ns2:DLCPolicyLabelValue" minOccurs="0"/>
                <xsd:element ref="ns2:DLCPolicyLabelClientValue" minOccurs="0"/>
                <xsd:element ref="ns2:DLCPolicyLabelLoc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2" nillable="true" ma:displayName="Exempt from Policy"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628b1f6-c325-45a6-88f9-d0a4c869c4b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DLCPolicyLabelValue" ma:index="13" nillable="true" ma:displayName="Label" ma:description="Stores the current value of the label." ma:internalName="DLCPolicyLabelValue" ma:readOnly="true">
      <xsd:simpleType>
        <xsd:restriction base="dms:Note">
          <xsd:maxLength value="255"/>
        </xsd:restriction>
      </xsd:simpleType>
    </xsd:element>
    <xsd:element name="DLCPolicyLabelClientValue" ma:index="14" nillable="true" ma:displayName="Client Label Value" ma:description="Stores the last label value computed on the client." ma:hidden="true" ma:internalName="DLCPolicyLabelClientValue" ma:readOnly="false">
      <xsd:simpleType>
        <xsd:restriction base="dms:Note"/>
      </xsd:simpleType>
    </xsd:element>
    <xsd:element name="DLCPolicyLabelLock" ma:index="15" nillable="true" ma:displayName="Label Locked" ma:description="Indicates whether the label should be updated when item properties are modified." ma:hidden="true" ma:internalName="DLCPolicyLabelLock"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a2a4c16-fb5f-4192-bb50-5a411843c667" elementFormDefault="qualified">
    <xsd:import namespace="http://schemas.microsoft.com/office/2006/documentManagement/types"/>
    <xsd:import namespace="http://schemas.microsoft.com/office/infopath/2007/PartnerControls"/>
    <xsd:element name="Document_x0020_Type" ma:index="11" nillable="true" ma:displayName="Document Type" ma:default="PowerPoint" ma:format="Dropdown" ma:internalName="Document_x0020_Type">
      <xsd:simpleType>
        <xsd:restriction base="dms:Choice">
          <xsd:enumeration value="PowerPoint"/>
          <xsd:enumeration value="Excel"/>
          <xsd:enumeration value="Word"/>
          <xsd:enumeration value="PD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p:Policy xmlns:p="office.server.policy" id="" local="true">
  <p:Name>Document</p:Name>
  <p:Description/>
  <p:Statement/>
  <p:PolicyItems>
    <p:PolicyItem featureId="Microsoft.Office.RecordsManagement.PolicyFeatures.PolicyLabel" staticId="0x0101|-1884395645" UniqueId="af6390dd-267b-43d5-a279-9866e57dee5d">
      <p:Name>Labels</p:Name>
      <p:Description>Generates labels that can be inserted in Microsoft Office documents to ensure that document properties or other important information are included when documents are printed. Labels can also be used to search for documents.</p:Description>
      <p:CustomData>
        <label>
          <segment type="literal">Document ID: </segment>
          <segment type="metadata">_dlc_DocId</segment>
        </label>
      </p:CustomData>
    </p:PolicyItem>
  </p:PolicyItems>
</p:Policy>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Receiver>
    <Name>Policy Label Generator</Name>
    <Synchronization>Synchronous</Synchronization>
    <Type>10001</Type>
    <SequenceNumber>1000</SequenceNumber>
    <Assembly>Microsoft.Office.Policy, Version=14.0.0.0, Culture=neutral, PublicKeyToken=71e9bce111e9429c</Assembly>
    <Class>Microsoft.Office.RecordsManagement.Internal.LabelHandler</Class>
    <Data/>
    <Filter/>
  </Receiver>
  <Receiver>
    <Name>Policy Label Generator</Name>
    <Synchronization>Synchronous</Synchronization>
    <Type>10002</Type>
    <SequenceNumber>1001</SequenceNumber>
    <Assembly>Microsoft.Office.Policy, Version=14.0.0.0, Culture=neutral, PublicKeyToken=71e9bce111e9429c</Assembly>
    <Class>Microsoft.Office.RecordsManagement.Internal.LabelHandler</Class>
    <Data/>
    <Filter/>
  </Receiver>
  <Receiver>
    <Name>Policy Label Generator</Name>
    <Synchronization>Synchronous</Synchronization>
    <Type>10004</Type>
    <SequenceNumber>1002</SequenceNumber>
    <Assembly>Microsoft.Office.Policy, Version=14.0.0.0, Culture=neutral, PublicKeyToken=71e9bce111e9429c</Assembly>
    <Class>Microsoft.Office.RecordsManagement.Internal.LabelHandler</Class>
    <Data/>
    <Filter/>
  </Receiver>
  <Receiver>
    <Name>Policy Label Generator</Name>
    <Synchronization>Synchronous</Synchronization>
    <Type>10006</Type>
    <SequenceNumber>1003</SequenceNumber>
    <Assembly>Microsoft.Office.Policy, Version=14.0.0.0, Culture=neutral, PublicKeyToken=71e9bce111e9429c</Assembly>
    <Class>Microsoft.Office.RecordsManagement.Internal.LabelHandler</Class>
    <Data/>
    <Filter/>
  </Receiver>
</spe:Receivers>
</file>

<file path=customXml/item5.xml><?xml version="1.0" encoding="utf-8"?>
<p:properties xmlns:p="http://schemas.microsoft.com/office/2006/metadata/properties" xmlns:xsi="http://www.w3.org/2001/XMLSchema-instance" xmlns:pc="http://schemas.microsoft.com/office/infopath/2007/PartnerControls">
  <documentManagement>
    <DLCPolicyLabelLock xmlns="d628b1f6-c325-45a6-88f9-d0a4c869c4b8" xsi:nil="true"/>
    <Document_x0020_Type xmlns="3a2a4c16-fb5f-4192-bb50-5a411843c667">Excel</Document_x0020_Type>
    <DLCPolicyLabelClientValue xmlns="d628b1f6-c325-45a6-88f9-d0a4c869c4b8" xsi:nil="true"/>
    <_dlc_DocId xmlns="d628b1f6-c325-45a6-88f9-d0a4c869c4b8">IRICORP-2982-417</_dlc_DocId>
    <_dlc_DocIdUrl xmlns="d628b1f6-c325-45a6-88f9-d0a4c869c4b8">
      <Url>http://hub.infores.com/Departments/Technology_and_operations/CSIA_Management/_layouts/DocIdRedir.aspx?ID=IRICORP-2982-417</Url>
      <Description>IRICORP-2982-417</Description>
    </_dlc_DocIdUrl>
    <DLCPolicyLabelValue xmlns="d628b1f6-c325-45a6-88f9-d0a4c869c4b8">Document ID: IRICORP-2982-417</DLCPolicyLabelValue>
  </documentManagement>
</p:properties>
</file>

<file path=customXml/itemProps1.xml><?xml version="1.0" encoding="utf-8"?>
<ds:datastoreItem xmlns:ds="http://schemas.openxmlformats.org/officeDocument/2006/customXml" ds:itemID="{AA364E6D-ADC5-488C-AF38-B526139CB938}"/>
</file>

<file path=customXml/itemProps2.xml><?xml version="1.0" encoding="utf-8"?>
<ds:datastoreItem xmlns:ds="http://schemas.openxmlformats.org/officeDocument/2006/customXml" ds:itemID="{DD011A13-0104-458E-9254-43BB14E598EF}"/>
</file>

<file path=customXml/itemProps3.xml><?xml version="1.0" encoding="utf-8"?>
<ds:datastoreItem xmlns:ds="http://schemas.openxmlformats.org/officeDocument/2006/customXml" ds:itemID="{C94D6B45-C5E7-4AC3-AC28-2764CE611975}"/>
</file>

<file path=customXml/itemProps4.xml><?xml version="1.0" encoding="utf-8"?>
<ds:datastoreItem xmlns:ds="http://schemas.openxmlformats.org/officeDocument/2006/customXml" ds:itemID="{56201EE0-2B7F-443B-8D88-6C9C6599CAEF}"/>
</file>

<file path=customXml/itemProps5.xml><?xml version="1.0" encoding="utf-8"?>
<ds:datastoreItem xmlns:ds="http://schemas.openxmlformats.org/officeDocument/2006/customXml" ds:itemID="{774AB65B-31C5-487A-9F14-7E1EE28D3912}"/>
</file>

<file path=docProps/app.xml><?xml version="1.0" encoding="utf-8"?>
<Properties xmlns="http://schemas.openxmlformats.org/officeDocument/2006/extended-properties" xmlns:vt="http://schemas.openxmlformats.org/officeDocument/2006/docPropsVTypes">
  <Application>Microsoft Excel</Application>
  <DocSecurity>0</DocSecurity>
  <Template/>
  <Manager/>
  <Company>IRI</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Edmund C. DeCaria</dc:creator>
  <cp:keywords/>
  <dc:description>Final 1.03 version of leakage tree template, with annotated example.</dc:description>
  <cp:lastModifiedBy>Wendy Bierman</cp:lastModifiedBy>
  <cp:lastPrinted>2012-12-04T22:29:07Z</cp:lastPrinted>
  <dcterms:created xsi:type="dcterms:W3CDTF">2010-07-16T17:51:28Z</dcterms:created>
  <dcterms:modified xsi:type="dcterms:W3CDTF">2016-03-09T22:49:15Z</dcterms:modified>
  <cp:category/>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0x0101000C2EA31C644F2F468A257FED1BA6D500</vt:lpwstr>
  </property>
  <property fmtid="{D5CDD505-2E9C-101B-9397-08002B2CF9AE}" pid="3" name="_dlc_DocIdItemGuid">
    <vt:lpwstr>fa2a0ec3-934c-4d92-a359-1d8d1796d0b3</vt:lpwstr>
  </property>
</Properties>
</file>